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Shared/Previously Relocated Items/Security/My Documents/MY PC Documents/TAXES 2023/"/>
    </mc:Choice>
  </mc:AlternateContent>
  <xr:revisionPtr revIDLastSave="0" documentId="8_{002DE245-D14D-6C46-A64C-71A64CA43A48}" xr6:coauthVersionLast="47" xr6:coauthVersionMax="47" xr10:uidLastSave="{00000000-0000-0000-0000-000000000000}"/>
  <bookViews>
    <workbookView xWindow="0" yWindow="500" windowWidth="25600" windowHeight="13760" xr2:uid="{0AD9D689-C6E1-8548-BDDD-6E58D03777E4}"/>
  </bookViews>
  <sheets>
    <sheet name="2023 Antrim Sligo exp. and rent" sheetId="5" r:id="rId1"/>
    <sheet name="MILEAGE" sheetId="7" r:id="rId2"/>
    <sheet name="MED EXP 2023" sheetId="6" r:id="rId3"/>
    <sheet name="PERS PROP TAX 2023" sheetId="8" r:id="rId4"/>
    <sheet name="LITRATURE" sheetId="3" r:id="rId5"/>
    <sheet name="OLD 2022 MED EXP" sheetId="4" r:id="rId6"/>
    <sheet name="UTILITIES 2022 NOT USED IN 2023" sheetId="2" r:id="rId7"/>
    <sheet name="DETAILS old 2022" sheetId="1"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11" i="8" l="1"/>
  <c r="C11" i="8"/>
  <c r="H44" i="6"/>
  <c r="K10" i="5"/>
  <c r="F17" i="5"/>
  <c r="F10" i="5"/>
  <c r="F3" i="7"/>
  <c r="C3" i="7"/>
  <c r="J3" i="7" s="1"/>
  <c r="B19" i="5" s="1"/>
  <c r="B9" i="7"/>
  <c r="G5" i="7"/>
  <c r="G45" i="1"/>
  <c r="B28" i="5"/>
  <c r="C45" i="1"/>
  <c r="F28" i="5"/>
  <c r="C44" i="1"/>
  <c r="B32" i="5"/>
  <c r="F48" i="6"/>
  <c r="F47" i="6"/>
  <c r="F44" i="6"/>
  <c r="B33" i="5" s="1"/>
  <c r="G18" i="5"/>
  <c r="F6" i="5"/>
  <c r="F18" i="5"/>
  <c r="B18" i="5"/>
  <c r="B17" i="5"/>
  <c r="B8" i="5"/>
  <c r="F5" i="5"/>
  <c r="B7" i="5"/>
  <c r="F4" i="5"/>
  <c r="H5" i="1"/>
  <c r="I6" i="1"/>
  <c r="I4" i="1"/>
  <c r="G39" i="1"/>
  <c r="S14" i="2"/>
  <c r="C90" i="1" s="1"/>
  <c r="G43" i="1"/>
  <c r="C43" i="1"/>
  <c r="F50" i="6" l="1"/>
  <c r="B34" i="5" s="1"/>
  <c r="B3" i="5"/>
  <c r="B10" i="5"/>
  <c r="J10" i="5" s="1"/>
  <c r="K11" i="5"/>
  <c r="F3" i="5"/>
  <c r="K3" i="5" s="1"/>
  <c r="D113" i="1"/>
  <c r="K81" i="4"/>
  <c r="I73" i="4" s="1"/>
  <c r="I74" i="4" s="1"/>
  <c r="J79" i="4"/>
  <c r="J78" i="4"/>
  <c r="J89" i="4" s="1"/>
  <c r="G50" i="4" s="1"/>
  <c r="G89" i="4"/>
  <c r="G31" i="4"/>
  <c r="G12" i="4"/>
  <c r="G5" i="4"/>
  <c r="G51" i="4" s="1"/>
  <c r="D111" i="1"/>
  <c r="D115" i="1" s="1"/>
  <c r="I111" i="1"/>
  <c r="C8" i="1"/>
  <c r="C39" i="1"/>
  <c r="C23" i="1"/>
  <c r="G23" i="1"/>
  <c r="Q14" i="2"/>
  <c r="C93" i="1" s="1"/>
  <c r="C11" i="1"/>
  <c r="E75" i="1"/>
  <c r="F75" i="1" s="1"/>
  <c r="H75" i="1" s="1"/>
  <c r="D108" i="1"/>
  <c r="C91" i="1"/>
  <c r="N14" i="2"/>
  <c r="C89" i="1" s="1"/>
  <c r="K14" i="2"/>
  <c r="C88" i="1" s="1"/>
  <c r="H14" i="2"/>
  <c r="C87" i="1" s="1"/>
  <c r="C14" i="2"/>
  <c r="C86" i="1" s="1"/>
  <c r="F52" i="1"/>
  <c r="F65" i="1"/>
  <c r="F71" i="1"/>
  <c r="F63" i="1"/>
  <c r="F58" i="1"/>
  <c r="F57" i="1"/>
  <c r="F56" i="1"/>
  <c r="F55" i="1"/>
  <c r="F54" i="1"/>
  <c r="F53" i="1"/>
  <c r="F51" i="1"/>
  <c r="F50" i="1"/>
  <c r="F69" i="1"/>
  <c r="F70" i="1"/>
  <c r="G73" i="1"/>
  <c r="F68" i="1"/>
  <c r="F67" i="1"/>
  <c r="F66" i="1"/>
  <c r="F64" i="1"/>
  <c r="K12" i="5" l="1"/>
  <c r="G44" i="1"/>
  <c r="F60" i="1"/>
  <c r="F73" i="1"/>
  <c r="F77" i="1" l="1"/>
  <c r="H73" i="1"/>
  <c r="H60" i="1"/>
  <c r="H77" i="1" l="1"/>
  <c r="D117" i="1" s="1"/>
</calcChain>
</file>

<file path=xl/sharedStrings.xml><?xml version="1.0" encoding="utf-8"?>
<sst xmlns="http://schemas.openxmlformats.org/spreadsheetml/2006/main" count="562" uniqueCount="314">
  <si>
    <t>Settlement agent fee</t>
  </si>
  <si>
    <t>Govt Recording charges</t>
  </si>
  <si>
    <t>Title search fee</t>
  </si>
  <si>
    <t>Recording Fee</t>
  </si>
  <si>
    <t>Settlement closing fee</t>
  </si>
  <si>
    <t>Total</t>
  </si>
  <si>
    <t>Title Insurance 2</t>
  </si>
  <si>
    <t>Title Insurance 1 (one time)</t>
  </si>
  <si>
    <t>Title search Fee</t>
  </si>
  <si>
    <t>Recording fee</t>
  </si>
  <si>
    <t>HOA Processing Fee</t>
  </si>
  <si>
    <t>17366 Sligo Loop</t>
  </si>
  <si>
    <t>3132 Antrim Cir.</t>
  </si>
  <si>
    <t>Title Insurance (one time)</t>
  </si>
  <si>
    <t>3132 ANTRIM EXP.</t>
  </si>
  <si>
    <t>NO. OF TRIPS</t>
  </si>
  <si>
    <t>DIST.</t>
  </si>
  <si>
    <t>LOWES</t>
  </si>
  <si>
    <t>TWNHSE</t>
  </si>
  <si>
    <t>WALMART</t>
  </si>
  <si>
    <t xml:space="preserve">BANK </t>
  </si>
  <si>
    <t>Meet tenant</t>
  </si>
  <si>
    <t>Visit to property for purchase</t>
  </si>
  <si>
    <t>Total Miles</t>
  </si>
  <si>
    <t>17366 Sligo Exp.</t>
  </si>
  <si>
    <t>Meet real estate agent</t>
  </si>
  <si>
    <t>Cost per mile</t>
  </si>
  <si>
    <t>Tot. Cost</t>
  </si>
  <si>
    <t>DIST. IN miles</t>
  </si>
  <si>
    <t>Vehicle Use:</t>
  </si>
  <si>
    <t>City Tax (Transfer Taxes)</t>
  </si>
  <si>
    <t>State Tax (Transfer Taxes)</t>
  </si>
  <si>
    <t>County Prop. Tax</t>
  </si>
  <si>
    <t>Transfer Tax charges</t>
  </si>
  <si>
    <t>Home Depot</t>
  </si>
  <si>
    <t>Trips to visit properties for purchase, for repairs, to see agent and for renting out.</t>
  </si>
  <si>
    <t>ACE HARDWARE</t>
  </si>
  <si>
    <t>Ace Hardware</t>
  </si>
  <si>
    <t>Homeowner Ins. To Allstate (Yearly)</t>
  </si>
  <si>
    <t>Home Office, 2394 Scuppers Lane Woodbridge VA 22191</t>
  </si>
  <si>
    <t>Office Size:</t>
  </si>
  <si>
    <t>(14 ft. x 19 ft.) + 30 sq. ft. + 25 sq. ft.</t>
  </si>
  <si>
    <t>356 sq. ft.</t>
  </si>
  <si>
    <t>Electric</t>
  </si>
  <si>
    <t>Water</t>
  </si>
  <si>
    <t>Internet</t>
  </si>
  <si>
    <t>Received</t>
  </si>
  <si>
    <t>Gas</t>
  </si>
  <si>
    <t>Washington Gas:</t>
  </si>
  <si>
    <t>Dominion Electric</t>
  </si>
  <si>
    <t>BILLED</t>
  </si>
  <si>
    <t>Water and Sewer</t>
  </si>
  <si>
    <t>Verizon</t>
  </si>
  <si>
    <t>Property Tax (whole year)</t>
  </si>
  <si>
    <t>Utilities:</t>
  </si>
  <si>
    <t>property purchase, look after, book keeping). Office use from Apr. 10, 2022 till end of year 2022</t>
  </si>
  <si>
    <t>Homeowner Insurance</t>
  </si>
  <si>
    <t>Charitable Donations:</t>
  </si>
  <si>
    <t>Total:</t>
  </si>
  <si>
    <t>Mary's Center (Bee Thrifty):</t>
  </si>
  <si>
    <t>Goodwill (12-Dec-22)</t>
  </si>
  <si>
    <t>Miles for donations:</t>
  </si>
  <si>
    <t>UTILITY BILLS FOR 2394 SCUPPERS LANE (APR-DEC 2022)</t>
  </si>
  <si>
    <t>Since Apr. 22 until Dec. 2022. (see attached sheet)</t>
  </si>
  <si>
    <t>Property Taxes, Home Office Use, Closing costs and Homeowner Insurance Costs (for depreciation calculations and direct deduction), Charitable donations.</t>
  </si>
  <si>
    <t xml:space="preserve">DEDUCTIBE EXP. ON RENTAL PROPERTY </t>
  </si>
  <si>
    <t>Closing Costs That Increase Prop. Basis</t>
  </si>
  <si>
    <t>PROP. TAX PAID</t>
  </si>
  <si>
    <t>Abstract fees, Utility installation service charges, Recording fees, Surveys, Transfer taxes, Title insurance ETC.</t>
  </si>
  <si>
    <t>DEPRECIATION</t>
  </si>
  <si>
    <t>a)Deduct the value of the land or lot from the basis, because land does not depreciate.</t>
  </si>
  <si>
    <t>b)Divide this amount by 27.5 years to determine the annual depreciation expense allowed by the IRS.</t>
  </si>
  <si>
    <t>Repairs (repairs are fully deductible )</t>
  </si>
  <si>
    <t>Repairs and general maintenance expenses such as landscaping, plumbing and roof repairs, and seasonal inspection of the HVAC unit</t>
  </si>
  <si>
    <t>In-town auto expenses for going to and from your rental property can be deducted based on the actual expense or using the current IRS deduction of 56 cents per mile. </t>
  </si>
  <si>
    <t>Homeowners and Landlord Insurance</t>
  </si>
  <si>
    <t>Insurance premiums paid for the rental property to provide coverage for fire, theft, and flooding are fully deductible, as is extra coverage for landlord liability insurance.</t>
  </si>
  <si>
    <t>Depreciation</t>
  </si>
  <si>
    <t>Door Knob</t>
  </si>
  <si>
    <t xml:space="preserve">Microwave </t>
  </si>
  <si>
    <t>Blinds</t>
  </si>
  <si>
    <t>Lawnmowing</t>
  </si>
  <si>
    <t>Repairs:</t>
  </si>
  <si>
    <t>Carpet &amp; Paint</t>
  </si>
  <si>
    <t>Cleaner</t>
  </si>
  <si>
    <t>Management fee (ledger)</t>
  </si>
  <si>
    <t>Utilities for startup</t>
  </si>
  <si>
    <t>HOA</t>
  </si>
  <si>
    <t>HOA fees paid</t>
  </si>
  <si>
    <t>EXPENSES:</t>
  </si>
  <si>
    <t>PROP. INCOME (see account ledgers):</t>
  </si>
  <si>
    <t>Agent's Commission, advertisment, screening tennants, leasing (ledger)</t>
  </si>
  <si>
    <t>CLOSING COST (to add to basis)</t>
  </si>
  <si>
    <t>=  $1263.33</t>
  </si>
  <si>
    <t>To Goodwill, St. Mary's, LPF;</t>
  </si>
  <si>
    <t>TOTAL Miles</t>
  </si>
  <si>
    <t>RECEIPTS ON RECORD</t>
  </si>
  <si>
    <t>LPF (Level The Plainfield):</t>
  </si>
  <si>
    <t>RIGHT AWAY: Real estate property taxes</t>
  </si>
  <si>
    <t>Fees paid for property management, leasing, accounting, legal, financial planning, fully deductible</t>
  </si>
  <si>
    <t>Travel, fully deductible</t>
  </si>
  <si>
    <t>($98 deducted in 1st disburs.)</t>
  </si>
  <si>
    <t>HOA: Aug-Dec. 2022</t>
  </si>
  <si>
    <t>Fully deductible</t>
  </si>
  <si>
    <t>Deductible in 2022</t>
  </si>
  <si>
    <t>Health care premium:</t>
  </si>
  <si>
    <r>
      <t xml:space="preserve">Below are taxes and utilities for </t>
    </r>
    <r>
      <rPr>
        <sz val="12"/>
        <color rgb="FFFF0000"/>
        <rFont val="Calibri (Body)"/>
      </rPr>
      <t>prorating</t>
    </r>
    <r>
      <rPr>
        <sz val="12"/>
        <color theme="5" tint="-0.249977111117893"/>
        <rFont val="Calibri (Body)"/>
      </rPr>
      <t xml:space="preserve"> </t>
    </r>
    <r>
      <rPr>
        <sz val="12"/>
        <color theme="1"/>
        <rFont val="Calibri"/>
        <family val="2"/>
        <scheme val="minor"/>
      </rPr>
      <t xml:space="preserve">for expenses  for office use (self employment &amp; rental </t>
    </r>
  </si>
  <si>
    <t>Minimum itemized deductions (estimated)</t>
  </si>
  <si>
    <t>Clothing, kitchenware, crockery, comforters, shoes, lamps, china ware, table, chairs</t>
  </si>
  <si>
    <t>Credit</t>
  </si>
  <si>
    <t>Account Credit Adjustment</t>
  </si>
  <si>
    <t>Invoice</t>
  </si>
  <si>
    <t>#003494531</t>
  </si>
  <si>
    <t>Accredo pharmacy order</t>
  </si>
  <si>
    <t>Payment</t>
  </si>
  <si>
    <t>Credit Card (VISA *8733)</t>
  </si>
  <si>
    <t>#155314943</t>
  </si>
  <si>
    <t>View invoice details</t>
  </si>
  <si>
    <t>#153875472</t>
  </si>
  <si>
    <t>#153875470</t>
  </si>
  <si>
    <t>#152786625B</t>
  </si>
  <si>
    <t>#152724728</t>
  </si>
  <si>
    <t>#152724900</t>
  </si>
  <si>
    <t>#151591731</t>
  </si>
  <si>
    <t>#152113714</t>
  </si>
  <si>
    <t>#152113712</t>
  </si>
  <si>
    <t>#151591532</t>
  </si>
  <si>
    <t>#063239785</t>
  </si>
  <si>
    <t>#063183882</t>
  </si>
  <si>
    <t>#063205611</t>
  </si>
  <si>
    <t>#145123153</t>
  </si>
  <si>
    <t>#145123152</t>
  </si>
  <si>
    <t>Total Payments:</t>
  </si>
  <si>
    <t>Medical</t>
  </si>
  <si>
    <t>Seemi (Spouse)</t>
  </si>
  <si>
    <t>Ahmed Butt</t>
  </si>
  <si>
    <t>Alexander Fischer</t>
  </si>
  <si>
    <t>TelaDoc Physicians, P.A.</t>
  </si>
  <si>
    <t>Sentara Reference Laboratory</t>
  </si>
  <si>
    <t>Carleen Tylenda</t>
  </si>
  <si>
    <t>Peter Bernad</t>
  </si>
  <si>
    <t>Quest Diagnostics</t>
  </si>
  <si>
    <t>Stephanie Carter</t>
  </si>
  <si>
    <t>Paul Keiser</t>
  </si>
  <si>
    <t>No Associated Provider</t>
  </si>
  <si>
    <t>Aftab (Self)</t>
  </si>
  <si>
    <t>Total payments:</t>
  </si>
  <si>
    <t>Type</t>
  </si>
  <si>
    <t>Service date</t>
  </si>
  <si>
    <t>Member</t>
  </si>
  <si>
    <t>Provider or facility name</t>
  </si>
  <si>
    <t>Prescription name</t>
  </si>
  <si>
    <t>Provider billed</t>
  </si>
  <si>
    <t>Plan paid</t>
  </si>
  <si>
    <t>Your Cost</t>
  </si>
  <si>
    <t>RX cost</t>
  </si>
  <si>
    <t>MEDICAL EXPENSES 2022</t>
  </si>
  <si>
    <t xml:space="preserve">Copayments </t>
  </si>
  <si>
    <t>TELADOC</t>
  </si>
  <si>
    <t>ALLERGY &amp; ASTHMA CENTER</t>
  </si>
  <si>
    <t>MT. VERNON INTERNAL MEDIC</t>
  </si>
  <si>
    <t>Transaction Date</t>
  </si>
  <si>
    <t>Posted Date</t>
  </si>
  <si>
    <t>Card No.</t>
  </si>
  <si>
    <t>Description</t>
  </si>
  <si>
    <t>Category</t>
  </si>
  <si>
    <t>Debit</t>
  </si>
  <si>
    <t>Health Care</t>
  </si>
  <si>
    <t>CVS/PHARMACY #01832</t>
  </si>
  <si>
    <t>CVS/PHARMACY #01404</t>
  </si>
  <si>
    <t>Express Scripts Phrmcy</t>
  </si>
  <si>
    <t>NEUROLOGY SERVICES INC</t>
  </si>
  <si>
    <t>MED*ASTHMA ALLERGY CTR</t>
  </si>
  <si>
    <t>TOTAL:</t>
  </si>
  <si>
    <t>TAKEN ABOVE</t>
  </si>
  <si>
    <t>NOT TAKEN ABOVE</t>
  </si>
  <si>
    <t>TOTAL MED EXPENSES</t>
  </si>
  <si>
    <t>See attached MED EXP. sheet</t>
  </si>
  <si>
    <t>MEDICAL FACILITY COPAYMENTS (AETNA)</t>
  </si>
  <si>
    <t>PHARMACY PAYMENTS (express scripts)</t>
  </si>
  <si>
    <t>TRANSACTIONS FROM CAP. ONE CREDIT CARD STATEMENTS:</t>
  </si>
  <si>
    <t>FROM CREDIT CARD  STATEMENT BELOW</t>
  </si>
  <si>
    <t>FROM CREDIT CARD STATEMETNS BELOW BELOW:</t>
  </si>
  <si>
    <t>Clothing, kitchenware, comforters, shoes, lamps, china ware, luggage bags, heater</t>
  </si>
  <si>
    <t>Clothing, kitchenware, comforters, shoes, pots, lamps, china ware, furniture, DVD PLAYER, 2-Tablets</t>
  </si>
  <si>
    <t>Depreciation is a non-cash expense used to reduce – or sometimes completely eliminate – the tax due on rental income. Rental property depreciation is one of the reasons why many real estate investors pay next to nothing in personal income tax.</t>
  </si>
  <si>
    <t>Prop. Purch Price:</t>
  </si>
  <si>
    <t>DEPRECIATION EXPENSE FOR FULL YEAR (CALCULATED):</t>
  </si>
  <si>
    <t>DEPRECIATION EXPENSE FOR PART YEAR:</t>
  </si>
  <si>
    <r>
      <rPr>
        <b/>
        <sz val="8"/>
        <color rgb="FFFF0000"/>
        <rFont val="Arial"/>
        <family val="2"/>
      </rPr>
      <t>NOTE:</t>
    </r>
    <r>
      <rPr>
        <b/>
        <sz val="8"/>
        <rFont val="Arial"/>
        <family val="2"/>
      </rPr>
      <t xml:space="preserve"> REFER TO ATTACHED LAND AND STRUCTURE ASSESSMENT BREAKDOWN FOR DEPRICIATION OF EACH PROPERTY TO ADD CLOSING COSTS TO BASIS OF EACH ASSET.</t>
    </r>
    <r>
      <rPr>
        <b/>
        <sz val="8"/>
        <color rgb="FFFF0000"/>
        <rFont val="Arial"/>
        <family val="2"/>
      </rPr>
      <t xml:space="preserve"> CAN BONUS DEPRECIATION BE USED??? Bonus depreciation is an accelerated business tax deduction that allows businesses to deduct a large percentage of the purchase price of eligible assets upfront. This reduces a company's income tax which, which, in turn, reduces its tax liability.</t>
    </r>
    <r>
      <rPr>
        <b/>
        <sz val="8"/>
        <rFont val="Arial"/>
        <family val="2"/>
      </rPr>
      <t xml:space="preserve">
The fair market value (tax basis for depreciation) of a 1st-time rental property is the lesser of the adjusted basis of the property (its original purchase price plus cost of improvements) or the fair market value on the date it was placed into rental service.</t>
    </r>
  </si>
  <si>
    <t>PURCHASED ON DATE:</t>
  </si>
  <si>
    <t>AUG. 05, 2022</t>
  </si>
  <si>
    <t>AUG. 08, 2022</t>
  </si>
  <si>
    <t>DEPRECIATION %AGE: 1.364%, FOR AUG PURCHASE DATE</t>
  </si>
  <si>
    <t>Tax assessor's land value (2022)</t>
  </si>
  <si>
    <t>Taxable Improvement Assessed Value</t>
  </si>
  <si>
    <t xml:space="preserve">(FORMULA = IMPROVED ASSESSED VALUE / 27.5 YEARS), not used
</t>
  </si>
  <si>
    <t>Taxable Land Assessed Value</t>
  </si>
  <si>
    <t>Total Taxable Assessed Value</t>
  </si>
  <si>
    <t>NOTE: The GA has no feature to allow deductions of Utility Bills, Homeowner Insurance Premium, Homeowner Association (HOA) fees for some reason and are coming as greyed out. These should be deductible (a portion related to Home Office use).</t>
  </si>
  <si>
    <r>
      <t xml:space="preserve">For 2394 Scuppers Home Office Use </t>
    </r>
    <r>
      <rPr>
        <sz val="9"/>
        <color theme="1"/>
        <rFont val="Calibri (Body)"/>
      </rPr>
      <t>(300 SQ. FT. SPACE, VALUES TAKEN FROM TAX ASSESSORS INFO, ATTACHED)</t>
    </r>
  </si>
  <si>
    <t>Note: Prorating of costs for 2394 scuppers home office use, its utilities, property tax prorating, shall also be included, BUT NOT INCLUDED HERE!</t>
  </si>
  <si>
    <t>=$450+$56 for 9 months in USA, via direct deduction from bank of america, $130 for 3 months in Saudi via salary deduction</t>
  </si>
  <si>
    <t>Mobile phone</t>
  </si>
  <si>
    <t>Mobile Phone</t>
  </si>
  <si>
    <t>AETNA HEALTHCARE DEDUCTIBLE 2022</t>
  </si>
  <si>
    <t>Rx</t>
  </si>
  <si>
    <r>
      <rPr>
        <sz val="8"/>
        <color rgb="FFFF0000"/>
        <rFont val="Calibri (Body)"/>
      </rPr>
      <t>Article: 'Office in the home</t>
    </r>
    <r>
      <rPr>
        <sz val="8"/>
        <color theme="1"/>
        <rFont val="Calibri"/>
        <family val="2"/>
        <scheme val="minor"/>
      </rPr>
      <t>. If you use part of your home as an office, you may be able to deduct depreciation on that part based on its business use. For information about depreciating your home office, see IRS Pub. 587'.</t>
    </r>
  </si>
  <si>
    <t>From Closing Document.</t>
  </si>
  <si>
    <t>Accounting personnel shall use the best method of depreciation to suit and increase depreciation and tax refund as much as possible.</t>
  </si>
  <si>
    <t>Rented on sep-08-2022</t>
  </si>
  <si>
    <t>Sligo</t>
  </si>
  <si>
    <t xml:space="preserve">Antrim </t>
  </si>
  <si>
    <t>Lease: 10/10/22 thru 09/30/23</t>
  </si>
  <si>
    <t>EXPENSES</t>
  </si>
  <si>
    <t>PLUMBER</t>
  </si>
  <si>
    <t>DOOR LOCK</t>
  </si>
  <si>
    <t>(Nov20,23) Flush blocked, water heater valve spun, changed</t>
  </si>
  <si>
    <t>Rental Commission to Haseeb:</t>
  </si>
  <si>
    <t>Rental Income</t>
  </si>
  <si>
    <t>Management Fees (Haseeb)</t>
  </si>
  <si>
    <t>FLUSH TANK Valve fix</t>
  </si>
  <si>
    <t>RAILING, CLOSETS, Refrigerator panel</t>
  </si>
  <si>
    <t>Closet door lock jam</t>
  </si>
  <si>
    <t>Property Taxes, 6 mo.</t>
  </si>
  <si>
    <t>New 6-mo lease ends On March 31, 2024</t>
  </si>
  <si>
    <t>Health Care Premium (470/Mo)</t>
  </si>
  <si>
    <t>Total income</t>
  </si>
  <si>
    <t>Net Income</t>
  </si>
  <si>
    <t>WM SUPERCENTER #1852</t>
  </si>
  <si>
    <t>WM SUPERCENTER #3588</t>
  </si>
  <si>
    <t>WAL-MART #3588</t>
  </si>
  <si>
    <t>WAL-MART #3588     SE2</t>
  </si>
  <si>
    <t>EL MAWAN MEDICAL CENTER</t>
  </si>
  <si>
    <t>WAL-MART #1852</t>
  </si>
  <si>
    <t>GDP*Greater Washington Ar</t>
  </si>
  <si>
    <t>AllPhases Dermatology</t>
  </si>
  <si>
    <t>38223E EMERGENCY DEPT</t>
  </si>
  <si>
    <t>AllPhases Derm</t>
  </si>
  <si>
    <t>THE GREATER WASHINGTON</t>
  </si>
  <si>
    <t>DIABETES AND HORMONE CENT</t>
  </si>
  <si>
    <t>DISTRICT ENDOCRINE INC</t>
  </si>
  <si>
    <t>Cap One Health Care Transactions for year 2023</t>
  </si>
  <si>
    <t>DENTAL PREMIUMS</t>
  </si>
  <si>
    <t>MONTHLY 56</t>
  </si>
  <si>
    <t>YEARLY</t>
  </si>
  <si>
    <t>MEDICAL HC PREMIUMS</t>
  </si>
  <si>
    <t>TOTAL HC SPENDING</t>
  </si>
  <si>
    <t>HC SPENDING</t>
  </si>
  <si>
    <t>TOTAL HEALTH CARE SPENDING:</t>
  </si>
  <si>
    <t>TOTAL FOR YEAR 2023</t>
  </si>
  <si>
    <t>STATE TAX FILING FEE DELOITTE</t>
  </si>
  <si>
    <t>17366 Sligo Loop Dumfries</t>
  </si>
  <si>
    <t>Tax assessor's land value (2023)</t>
  </si>
  <si>
    <t>From PWC tax portal (PD saved in tax file)</t>
  </si>
  <si>
    <t xml:space="preserve">(FORMULA = IMPROVED ASSESSED VALUE / 27.5 YEARS)
</t>
  </si>
  <si>
    <t>Bal. Income</t>
  </si>
  <si>
    <t>Home Insurance (Yearly)</t>
  </si>
  <si>
    <t>(Nov03,23, leak in shower diverter valve, changed, wall fixed)</t>
  </si>
  <si>
    <t>Association Fees ($128/Mo)</t>
  </si>
  <si>
    <t>https://www.stessa.com/blog/how-to-calculate-depreciation-on-rental-property/</t>
  </si>
  <si>
    <t>Antrim</t>
  </si>
  <si>
    <t>Vehicle Mileage</t>
  </si>
  <si>
    <t>Nov. 04, 2023</t>
  </si>
  <si>
    <t>Oct. 20, 2023</t>
  </si>
  <si>
    <t>Plumber</t>
  </si>
  <si>
    <t>Door lock</t>
  </si>
  <si>
    <t>Nov. 20, 2023</t>
  </si>
  <si>
    <t>Nov. 07, 2023</t>
  </si>
  <si>
    <t>HD, Lowes and house</t>
  </si>
  <si>
    <t>Nov. 03, 2023</t>
  </si>
  <si>
    <t>Flush tank</t>
  </si>
  <si>
    <t>Oct. 17, 2023</t>
  </si>
  <si>
    <t>Oct. 25, 2024</t>
  </si>
  <si>
    <t>Oct. 23, 2023</t>
  </si>
  <si>
    <t>Railing, Lowes</t>
  </si>
  <si>
    <t>Hardware door, HD</t>
  </si>
  <si>
    <t>Hardware, flush tank HD</t>
  </si>
  <si>
    <t>Oct. 27, 2023</t>
  </si>
  <si>
    <t>Refrigerator Panel, HD glue</t>
  </si>
  <si>
    <t>Nov. 21, 2023</t>
  </si>
  <si>
    <t xml:space="preserve">Plumber </t>
  </si>
  <si>
    <t>Vehicle mileage (total 2 prop.)</t>
  </si>
  <si>
    <t>18 Oct., 2023, to prepare for renting</t>
  </si>
  <si>
    <t>PAID ON MAR 23, 2023 RCPT IN TAX2022 FOLDER</t>
  </si>
  <si>
    <t>Jan-Aug23 (Sligo)</t>
  </si>
  <si>
    <t>Sep-Oct 15, 23 (Sligo)</t>
  </si>
  <si>
    <t>Nov23-Dec23 (Sligo)</t>
  </si>
  <si>
    <t>Jan-Sep23 (Antrim)</t>
  </si>
  <si>
    <t>Oct-Dec23 (Antrim)</t>
  </si>
  <si>
    <t>Raised rent 1.5 month, tenant left.</t>
  </si>
  <si>
    <t>Lease 1: 08/03/22 thru 08/31/23, Lease 2: Nov 01, 23 thru Oct 31, 24</t>
  </si>
  <si>
    <t>Fees increased in Jan24: $146/mo</t>
  </si>
  <si>
    <t>$70/month/12 months</t>
  </si>
  <si>
    <t>$70/mo/11 months</t>
  </si>
  <si>
    <t xml:space="preserve">Tax accountant to consider whatever saves more </t>
  </si>
  <si>
    <t>Dedcuted in Rent by Haseeb, Prop. Manager</t>
  </si>
  <si>
    <t>1/2 rent for sligo, Advertising by Haseeb</t>
  </si>
  <si>
    <t>See MILEAGE sheet for details</t>
  </si>
  <si>
    <t>REPAIRED</t>
  </si>
  <si>
    <t>Gardening, cleaning house interior</t>
  </si>
  <si>
    <t>2500/month</t>
  </si>
  <si>
    <t>2000/mo rent</t>
  </si>
  <si>
    <t>1/2 rent + Dec rent, 2400/mo</t>
  </si>
  <si>
    <t>Repaired (Nov07,23)</t>
  </si>
  <si>
    <t>Total Expenses</t>
  </si>
  <si>
    <t>Personal Property - PP 10714719 (KHAN, AFTAB A &amp; SEEMI A)</t>
  </si>
  <si>
    <t>Tax</t>
  </si>
  <si>
    <t>Fees</t>
  </si>
  <si>
    <t>Paid</t>
  </si>
  <si>
    <t xml:space="preserve">2010 VOLKSWAGEN TIGUAN- . UTLTY SE </t>
  </si>
  <si>
    <t xml:space="preserve">2012 HONDA CIVIC- . SDN EX </t>
  </si>
  <si>
    <t xml:space="preserve">2018 HONDA CR-V UTLTY TOURING I4 TURBO </t>
  </si>
  <si>
    <t>2024 HONDA CR-V 4 months: (9/23-12/23)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</si>
</sst>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s>
  <fonts count="49">
    <font>
      <sz val="12"/>
      <color theme="1"/>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b/>
      <sz val="10"/>
      <name val="Arial"/>
      <family val="2"/>
    </font>
    <font>
      <b/>
      <sz val="10"/>
      <color rgb="FFFF0000"/>
      <name val="Arial"/>
      <family val="2"/>
    </font>
    <font>
      <sz val="11"/>
      <color rgb="FF000000"/>
      <name val="Arial"/>
      <family val="2"/>
    </font>
    <font>
      <sz val="8"/>
      <name val="Calibri"/>
      <family val="2"/>
      <scheme val="minor"/>
    </font>
    <font>
      <b/>
      <sz val="12"/>
      <color rgb="FFFF0000"/>
      <name val="Calibri"/>
      <family val="2"/>
      <scheme val="minor"/>
    </font>
    <font>
      <b/>
      <sz val="11"/>
      <name val="Arial"/>
      <family val="2"/>
    </font>
    <font>
      <sz val="12"/>
      <color rgb="FF000000"/>
      <name val="Calibri"/>
      <family val="2"/>
      <scheme val="minor"/>
    </font>
    <font>
      <sz val="11"/>
      <color rgb="FF212B36"/>
      <name val="Open Sans"/>
    </font>
    <font>
      <sz val="11"/>
      <color theme="1"/>
      <name val="Calibri"/>
      <family val="2"/>
      <scheme val="minor"/>
    </font>
    <font>
      <sz val="10"/>
      <color theme="0" tint="-0.499984740745262"/>
      <name val="Calibri"/>
      <family val="2"/>
      <scheme val="minor"/>
    </font>
    <font>
      <b/>
      <sz val="14"/>
      <color theme="4"/>
      <name val="Calibri"/>
      <family val="2"/>
      <scheme val="minor"/>
    </font>
    <font>
      <b/>
      <sz val="10"/>
      <color theme="1"/>
      <name val="Arial"/>
      <family val="2"/>
    </font>
    <font>
      <b/>
      <sz val="11"/>
      <color theme="1"/>
      <name val="Calibri"/>
      <family val="2"/>
      <scheme val="minor"/>
    </font>
    <font>
      <sz val="12"/>
      <color rgb="FFFF0000"/>
      <name val="Calibri (Body)"/>
    </font>
    <font>
      <sz val="8"/>
      <color theme="5" tint="-0.249977111117893"/>
      <name val="Arial"/>
      <family val="2"/>
    </font>
    <font>
      <sz val="8"/>
      <color theme="5" tint="-0.249977111117893"/>
      <name val="Calibri"/>
      <family val="2"/>
      <scheme val="minor"/>
    </font>
    <font>
      <sz val="12"/>
      <color theme="5" tint="-0.249977111117893"/>
      <name val="Calibri (Body)"/>
    </font>
    <font>
      <b/>
      <sz val="16"/>
      <color rgb="FFFF0000"/>
      <name val="Calibri"/>
      <family val="2"/>
      <scheme val="minor"/>
    </font>
    <font>
      <sz val="12"/>
      <color theme="9" tint="-0.249977111117893"/>
      <name val="Calibri"/>
      <family val="2"/>
      <scheme val="minor"/>
    </font>
    <font>
      <sz val="11"/>
      <color rgb="FF515761"/>
      <name val="Helvetica"/>
      <family val="2"/>
    </font>
    <font>
      <sz val="11"/>
      <color rgb="FFFF0000"/>
      <name val="Calibri"/>
      <family val="2"/>
      <scheme val="minor"/>
    </font>
    <font>
      <b/>
      <sz val="8"/>
      <name val="Arial"/>
      <family val="2"/>
    </font>
    <font>
      <b/>
      <sz val="8"/>
      <color rgb="FFFF0000"/>
      <name val="Arial"/>
      <family val="2"/>
    </font>
    <font>
      <sz val="8"/>
      <color theme="1"/>
      <name val="Calibri"/>
      <family val="2"/>
      <scheme val="minor"/>
    </font>
    <font>
      <b/>
      <sz val="10"/>
      <color theme="1"/>
      <name val="Calibri"/>
      <family val="2"/>
      <scheme val="minor"/>
    </font>
    <font>
      <b/>
      <sz val="10"/>
      <color theme="0" tint="-0.34998626667073579"/>
      <name val="Arial"/>
      <family val="2"/>
    </font>
    <font>
      <sz val="12"/>
      <color theme="0" tint="-0.34998626667073579"/>
      <name val="Calibri"/>
      <family val="2"/>
      <scheme val="minor"/>
    </font>
    <font>
      <sz val="9"/>
      <color theme="0" tint="-0.34998626667073579"/>
      <name val="Calibri"/>
      <family val="2"/>
      <scheme val="minor"/>
    </font>
    <font>
      <sz val="10"/>
      <color rgb="FF333333"/>
      <name val="Helvetica"/>
      <family val="2"/>
    </font>
    <font>
      <sz val="10"/>
      <color rgb="FFFF0000"/>
      <name val="Calibri"/>
      <family val="2"/>
      <scheme val="minor"/>
    </font>
    <font>
      <sz val="9"/>
      <color theme="1"/>
      <name val="Calibri (Body)"/>
    </font>
    <font>
      <sz val="8"/>
      <color rgb="FFFF0000"/>
      <name val="Calibri (Body)"/>
    </font>
    <font>
      <sz val="11"/>
      <color rgb="FF333333"/>
      <name val="Urbano-Light"/>
    </font>
    <font>
      <b/>
      <sz val="12"/>
      <color rgb="FFFF0000"/>
      <name val="Arial"/>
      <family val="2"/>
    </font>
    <font>
      <b/>
      <sz val="16"/>
      <color theme="1"/>
      <name val="Calibri"/>
      <family val="2"/>
      <scheme val="minor"/>
    </font>
    <font>
      <b/>
      <sz val="18"/>
      <color theme="1"/>
      <name val="Calibri"/>
      <family val="2"/>
      <scheme val="minor"/>
    </font>
    <font>
      <b/>
      <sz val="14"/>
      <color theme="1"/>
      <name val="Calibri"/>
      <family val="2"/>
      <scheme val="minor"/>
    </font>
    <font>
      <sz val="9"/>
      <color rgb="FFFF0000"/>
      <name val="Calibri"/>
      <family val="2"/>
      <scheme val="minor"/>
    </font>
    <font>
      <sz val="9"/>
      <color theme="1"/>
      <name val="Calibri"/>
      <family val="2"/>
      <scheme val="minor"/>
    </font>
    <font>
      <u/>
      <sz val="12"/>
      <color theme="10"/>
      <name val="Calibri"/>
      <family val="2"/>
      <scheme val="minor"/>
    </font>
    <font>
      <i/>
      <sz val="10"/>
      <color theme="1"/>
      <name val="Calibri"/>
      <family val="2"/>
      <scheme val="minor"/>
    </font>
    <font>
      <u/>
      <sz val="8"/>
      <color theme="10"/>
      <name val="Calibri"/>
      <family val="2"/>
      <scheme val="minor"/>
    </font>
    <font>
      <sz val="18"/>
      <color rgb="FF333333"/>
      <name val="Helvetica Neue"/>
      <family val="2"/>
    </font>
    <font>
      <b/>
      <sz val="14"/>
      <color rgb="FF333333"/>
      <name val="Helvetica Neue"/>
      <family val="2"/>
    </font>
    <font>
      <sz val="14"/>
      <color rgb="FF333333"/>
      <name val="Helvetica Neue"/>
      <family val="2"/>
    </font>
  </fonts>
  <fills count="6">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4" tint="0.79998168889431442"/>
        <bgColor indexed="64"/>
      </patternFill>
    </fill>
  </fills>
  <borders count="2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3" fillId="0" borderId="0" applyNumberFormat="0" applyFill="0" applyBorder="0" applyAlignment="0" applyProtection="0"/>
  </cellStyleXfs>
  <cellXfs count="195">
    <xf numFmtId="0" fontId="0" fillId="0" borderId="0" xfId="0"/>
    <xf numFmtId="0" fontId="4" fillId="0" borderId="0" xfId="0" applyFont="1"/>
    <xf numFmtId="0" fontId="5" fillId="0" borderId="0" xfId="0" applyFont="1"/>
    <xf numFmtId="0" fontId="0" fillId="0" borderId="0" xfId="0" applyAlignment="1">
      <alignment wrapText="1"/>
    </xf>
    <xf numFmtId="0" fontId="4" fillId="0" borderId="0" xfId="0" applyFont="1" applyAlignment="1">
      <alignment wrapText="1"/>
    </xf>
    <xf numFmtId="43" fontId="0" fillId="0" borderId="0" xfId="1" applyFont="1"/>
    <xf numFmtId="17" fontId="4" fillId="0" borderId="0" xfId="0" applyNumberFormat="1" applyFont="1"/>
    <xf numFmtId="16" fontId="4" fillId="0" borderId="0" xfId="0" applyNumberFormat="1" applyFont="1"/>
    <xf numFmtId="0" fontId="3" fillId="0" borderId="0" xfId="0" applyFont="1" applyAlignment="1">
      <alignment wrapText="1"/>
    </xf>
    <xf numFmtId="43" fontId="0" fillId="0" borderId="0" xfId="1" applyFont="1" applyAlignment="1">
      <alignment wrapText="1"/>
    </xf>
    <xf numFmtId="0" fontId="3" fillId="0" borderId="0" xfId="0" applyFont="1"/>
    <xf numFmtId="14" fontId="0" fillId="0" borderId="0" xfId="0" applyNumberFormat="1"/>
    <xf numFmtId="14" fontId="6" fillId="0" borderId="0" xfId="0" applyNumberFormat="1" applyFont="1"/>
    <xf numFmtId="8" fontId="0" fillId="0" borderId="0" xfId="0" applyNumberFormat="1"/>
    <xf numFmtId="8" fontId="6" fillId="0" borderId="0" xfId="0" applyNumberFormat="1" applyFont="1"/>
    <xf numFmtId="0" fontId="6" fillId="0" borderId="0" xfId="0" applyFont="1"/>
    <xf numFmtId="44" fontId="0" fillId="0" borderId="0" xfId="2" applyFont="1"/>
    <xf numFmtId="44" fontId="0" fillId="0" borderId="0" xfId="2" applyFont="1" applyAlignment="1">
      <alignment wrapText="1"/>
    </xf>
    <xf numFmtId="44" fontId="5" fillId="0" borderId="0" xfId="2" applyFont="1"/>
    <xf numFmtId="44" fontId="4" fillId="0" borderId="0" xfId="2" applyFont="1"/>
    <xf numFmtId="43" fontId="3" fillId="0" borderId="0" xfId="1" applyFont="1" applyAlignment="1"/>
    <xf numFmtId="44" fontId="8" fillId="0" borderId="0" xfId="2" applyFont="1"/>
    <xf numFmtId="44" fontId="5" fillId="0" borderId="0" xfId="2" applyFont="1" applyAlignment="1">
      <alignment wrapText="1"/>
    </xf>
    <xf numFmtId="44" fontId="5" fillId="0" borderId="0" xfId="2" applyFont="1" applyBorder="1" applyAlignment="1">
      <alignment wrapText="1"/>
    </xf>
    <xf numFmtId="44" fontId="5" fillId="0" borderId="0" xfId="2" applyFont="1" applyBorder="1"/>
    <xf numFmtId="0" fontId="4" fillId="0" borderId="0" xfId="0" applyFont="1" applyAlignment="1">
      <alignment horizontal="left"/>
    </xf>
    <xf numFmtId="0" fontId="5" fillId="0" borderId="0" xfId="0" applyFont="1" applyAlignment="1">
      <alignment horizontal="left"/>
    </xf>
    <xf numFmtId="43" fontId="9" fillId="0" borderId="0" xfId="1" applyFont="1" applyAlignment="1">
      <alignment wrapText="1"/>
    </xf>
    <xf numFmtId="43" fontId="9" fillId="0" borderId="0" xfId="1" applyFont="1" applyAlignment="1">
      <alignment vertical="center"/>
    </xf>
    <xf numFmtId="0" fontId="10" fillId="0" borderId="0" xfId="0" applyFont="1"/>
    <xf numFmtId="0" fontId="11" fillId="0" borderId="0" xfId="0" applyFont="1"/>
    <xf numFmtId="0" fontId="12" fillId="0" borderId="0" xfId="0" applyFont="1"/>
    <xf numFmtId="44" fontId="3" fillId="0" borderId="0" xfId="2" applyFont="1" applyAlignment="1">
      <alignment wrapText="1"/>
    </xf>
    <xf numFmtId="43" fontId="9" fillId="0" borderId="0" xfId="1" applyFont="1" applyAlignment="1">
      <alignment vertical="center" wrapText="1"/>
    </xf>
    <xf numFmtId="44" fontId="4" fillId="0" borderId="1" xfId="2" applyFont="1" applyBorder="1"/>
    <xf numFmtId="44" fontId="4" fillId="0" borderId="2" xfId="2" applyFont="1" applyBorder="1"/>
    <xf numFmtId="44" fontId="4" fillId="0" borderId="3" xfId="2" applyFont="1" applyBorder="1"/>
    <xf numFmtId="44" fontId="4" fillId="0" borderId="1" xfId="2" applyFont="1" applyBorder="1" applyAlignment="1">
      <alignment wrapText="1"/>
    </xf>
    <xf numFmtId="44" fontId="4" fillId="0" borderId="2" xfId="2" applyFont="1" applyBorder="1" applyAlignment="1">
      <alignment wrapText="1"/>
    </xf>
    <xf numFmtId="44" fontId="4" fillId="0" borderId="3" xfId="2" applyFont="1" applyBorder="1" applyAlignment="1">
      <alignment wrapText="1"/>
    </xf>
    <xf numFmtId="44" fontId="15" fillId="0" borderId="0" xfId="2" applyFont="1" applyAlignment="1">
      <alignment wrapText="1"/>
    </xf>
    <xf numFmtId="44" fontId="15" fillId="0" borderId="0" xfId="2" applyFont="1"/>
    <xf numFmtId="44" fontId="8" fillId="0" borderId="0" xfId="2" applyFont="1" applyAlignment="1">
      <alignment wrapText="1"/>
    </xf>
    <xf numFmtId="44" fontId="16" fillId="0" borderId="0" xfId="2" applyFont="1" applyAlignment="1">
      <alignment wrapText="1"/>
    </xf>
    <xf numFmtId="0" fontId="2" fillId="0" borderId="0" xfId="0" applyFont="1"/>
    <xf numFmtId="0" fontId="18" fillId="0" borderId="0" xfId="0" applyFont="1"/>
    <xf numFmtId="44" fontId="19" fillId="0" borderId="0" xfId="2" applyFont="1" applyAlignment="1">
      <alignment wrapText="1"/>
    </xf>
    <xf numFmtId="8" fontId="21" fillId="0" borderId="0" xfId="0" applyNumberFormat="1" applyFont="1"/>
    <xf numFmtId="0" fontId="8" fillId="0" borderId="0" xfId="0" applyFont="1"/>
    <xf numFmtId="14" fontId="10" fillId="0" borderId="0" xfId="0" applyNumberFormat="1" applyFont="1"/>
    <xf numFmtId="0" fontId="0" fillId="0" borderId="0" xfId="0" applyAlignment="1">
      <alignment horizontal="left" vertical="center" wrapText="1"/>
    </xf>
    <xf numFmtId="43" fontId="22" fillId="0" borderId="5" xfId="1" applyFont="1" applyBorder="1" applyAlignment="1">
      <alignment wrapText="1"/>
    </xf>
    <xf numFmtId="14" fontId="23" fillId="0" borderId="0" xfId="0" applyNumberFormat="1" applyFont="1"/>
    <xf numFmtId="0" fontId="23" fillId="0" borderId="0" xfId="0" applyFont="1"/>
    <xf numFmtId="8" fontId="23" fillId="0" borderId="0" xfId="0" applyNumberFormat="1" applyFont="1"/>
    <xf numFmtId="8" fontId="24" fillId="0" borderId="0" xfId="0" applyNumberFormat="1" applyFont="1"/>
    <xf numFmtId="8" fontId="12" fillId="0" borderId="0" xfId="0" applyNumberFormat="1" applyFont="1"/>
    <xf numFmtId="0" fontId="2" fillId="0" borderId="0" xfId="0" applyFont="1" applyAlignment="1">
      <alignment horizontal="left" wrapText="1"/>
    </xf>
    <xf numFmtId="0" fontId="25" fillId="0" borderId="0" xfId="0" applyFont="1" applyAlignment="1">
      <alignment wrapText="1"/>
    </xf>
    <xf numFmtId="43" fontId="25" fillId="0" borderId="0" xfId="1" applyFont="1" applyAlignment="1"/>
    <xf numFmtId="43" fontId="28" fillId="0" borderId="0" xfId="1" applyFont="1" applyAlignment="1">
      <alignment wrapText="1"/>
    </xf>
    <xf numFmtId="44" fontId="5" fillId="0" borderId="0" xfId="2" applyFont="1" applyBorder="1" applyAlignment="1">
      <alignment vertical="center" wrapText="1"/>
    </xf>
    <xf numFmtId="0" fontId="0" fillId="0" borderId="0" xfId="0" applyAlignment="1">
      <alignment vertical="center"/>
    </xf>
    <xf numFmtId="0" fontId="0" fillId="0" borderId="0" xfId="0" applyAlignment="1">
      <alignment vertical="center" wrapText="1"/>
    </xf>
    <xf numFmtId="44" fontId="5" fillId="0" borderId="0" xfId="2" applyFont="1" applyBorder="1" applyAlignment="1">
      <alignment vertical="center"/>
    </xf>
    <xf numFmtId="44" fontId="29" fillId="0" borderId="0" xfId="2" applyFont="1" applyBorder="1" applyAlignment="1">
      <alignment vertical="center" wrapText="1"/>
    </xf>
    <xf numFmtId="0" fontId="30" fillId="0" borderId="0" xfId="0" applyFont="1" applyAlignment="1">
      <alignment vertical="center"/>
    </xf>
    <xf numFmtId="0" fontId="30" fillId="0" borderId="0" xfId="0" applyFont="1" applyAlignment="1">
      <alignment vertical="center" wrapText="1"/>
    </xf>
    <xf numFmtId="44" fontId="29" fillId="0" borderId="0" xfId="2" applyFont="1" applyBorder="1" applyAlignment="1">
      <alignment vertical="center"/>
    </xf>
    <xf numFmtId="0" fontId="32" fillId="0" borderId="0" xfId="0" applyFont="1"/>
    <xf numFmtId="0" fontId="33" fillId="0" borderId="0" xfId="0" applyFont="1" applyAlignment="1">
      <alignment horizontal="left" wrapText="1"/>
    </xf>
    <xf numFmtId="8" fontId="32" fillId="0" borderId="0" xfId="0" applyNumberFormat="1" applyFont="1"/>
    <xf numFmtId="44" fontId="12" fillId="0" borderId="0" xfId="2" applyFont="1"/>
    <xf numFmtId="14" fontId="36" fillId="0" borderId="0" xfId="0" applyNumberFormat="1" applyFont="1"/>
    <xf numFmtId="0" fontId="36" fillId="0" borderId="0" xfId="0" applyFont="1"/>
    <xf numFmtId="8" fontId="36" fillId="0" borderId="0" xfId="0" applyNumberFormat="1" applyFont="1"/>
    <xf numFmtId="17" fontId="12" fillId="0" borderId="0" xfId="0" applyNumberFormat="1" applyFont="1"/>
    <xf numFmtId="164" fontId="12" fillId="0" borderId="0" xfId="0" applyNumberFormat="1" applyFont="1"/>
    <xf numFmtId="14" fontId="12" fillId="0" borderId="0" xfId="0" applyNumberFormat="1" applyFont="1"/>
    <xf numFmtId="0" fontId="2" fillId="0" borderId="0" xfId="0" applyFont="1" applyAlignment="1">
      <alignment vertical="top" wrapText="1"/>
    </xf>
    <xf numFmtId="0" fontId="8" fillId="0" borderId="4" xfId="0" applyFont="1" applyBorder="1" applyAlignment="1">
      <alignment wrapText="1"/>
    </xf>
    <xf numFmtId="44" fontId="37" fillId="0" borderId="0" xfId="2" applyFont="1"/>
    <xf numFmtId="15" fontId="9" fillId="0" borderId="0" xfId="1" applyNumberFormat="1" applyFont="1" applyAlignment="1">
      <alignment vertical="center"/>
    </xf>
    <xf numFmtId="15" fontId="0" fillId="0" borderId="0" xfId="0" applyNumberFormat="1"/>
    <xf numFmtId="15" fontId="3" fillId="0" borderId="0" xfId="2" applyNumberFormat="1" applyFont="1" applyAlignment="1">
      <alignment wrapText="1"/>
    </xf>
    <xf numFmtId="44" fontId="0" fillId="0" borderId="0" xfId="0" applyNumberFormat="1"/>
    <xf numFmtId="0" fontId="3" fillId="0" borderId="8" xfId="0" applyFont="1" applyBorder="1"/>
    <xf numFmtId="43" fontId="40" fillId="2" borderId="0" xfId="1" applyFont="1" applyFill="1"/>
    <xf numFmtId="0" fontId="3" fillId="2" borderId="0" xfId="0" applyFont="1" applyFill="1"/>
    <xf numFmtId="0" fontId="2" fillId="0" borderId="0" xfId="0" applyFont="1" applyAlignment="1">
      <alignment horizontal="left" vertical="top" wrapText="1"/>
    </xf>
    <xf numFmtId="44" fontId="27" fillId="0" borderId="7" xfId="0" applyNumberFormat="1" applyFont="1" applyBorder="1" applyAlignment="1">
      <alignment horizontal="left" vertical="top" wrapText="1"/>
    </xf>
    <xf numFmtId="44" fontId="27" fillId="0" borderId="0" xfId="0" applyNumberFormat="1" applyFont="1" applyAlignment="1">
      <alignment horizontal="left" vertical="top" wrapText="1"/>
    </xf>
    <xf numFmtId="0" fontId="5" fillId="2" borderId="0" xfId="0" applyFont="1" applyFill="1" applyAlignment="1">
      <alignment horizontal="left" wrapText="1"/>
    </xf>
    <xf numFmtId="44" fontId="8" fillId="0" borderId="5" xfId="0" applyNumberFormat="1" applyFont="1" applyBorder="1" applyAlignment="1">
      <alignment horizontal="left"/>
    </xf>
    <xf numFmtId="44" fontId="8" fillId="0" borderId="6" xfId="0" applyNumberFormat="1" applyFont="1" applyBorder="1" applyAlignment="1">
      <alignment horizontal="left"/>
    </xf>
    <xf numFmtId="0" fontId="0" fillId="0" borderId="0" xfId="0" applyAlignment="1">
      <alignment horizontal="left" vertical="center" wrapText="1"/>
    </xf>
    <xf numFmtId="0" fontId="0" fillId="0" borderId="0" xfId="0" quotePrefix="1" applyAlignment="1">
      <alignment horizontal="left" wrapText="1"/>
    </xf>
    <xf numFmtId="0" fontId="4" fillId="0" borderId="0" xfId="0" applyFont="1" applyAlignment="1">
      <alignment horizontal="left" wrapText="1"/>
    </xf>
    <xf numFmtId="0" fontId="2" fillId="0" borderId="0" xfId="0" applyFont="1" applyAlignment="1">
      <alignment horizontal="left" wrapText="1"/>
    </xf>
    <xf numFmtId="0" fontId="0" fillId="0" borderId="0" xfId="0" applyAlignment="1">
      <alignment horizontal="left" vertical="top" wrapText="1"/>
    </xf>
    <xf numFmtId="0" fontId="0" fillId="0" borderId="0" xfId="0" applyAlignment="1">
      <alignment horizontal="left" wrapText="1"/>
    </xf>
    <xf numFmtId="0" fontId="25" fillId="0" borderId="0" xfId="0" applyFont="1" applyAlignment="1">
      <alignment horizontal="left" wrapText="1"/>
    </xf>
    <xf numFmtId="0" fontId="14" fillId="0" borderId="0" xfId="0" applyFont="1" applyAlignment="1">
      <alignment horizontal="left" wrapText="1"/>
    </xf>
    <xf numFmtId="44" fontId="13" fillId="0" borderId="7" xfId="2" quotePrefix="1" applyFont="1" applyBorder="1" applyAlignment="1">
      <alignment horizontal="center" vertical="center"/>
    </xf>
    <xf numFmtId="44" fontId="13" fillId="0" borderId="7" xfId="2" applyFont="1" applyBorder="1" applyAlignment="1">
      <alignment horizontal="center" vertical="center"/>
    </xf>
    <xf numFmtId="0" fontId="31" fillId="0" borderId="0" xfId="0" applyFont="1" applyAlignment="1">
      <alignment horizontal="left" vertical="center" wrapText="1"/>
    </xf>
    <xf numFmtId="44" fontId="0" fillId="0" borderId="0" xfId="2" applyFont="1" applyAlignment="1">
      <alignment horizontal="left" wrapText="1"/>
    </xf>
    <xf numFmtId="14" fontId="23" fillId="0" borderId="0" xfId="0" applyNumberFormat="1" applyFont="1"/>
    <xf numFmtId="0" fontId="23" fillId="0" borderId="0" xfId="0" applyFont="1"/>
    <xf numFmtId="6" fontId="23" fillId="0" borderId="0" xfId="0" applyNumberFormat="1" applyFont="1"/>
    <xf numFmtId="8" fontId="23" fillId="0" borderId="0" xfId="0" applyNumberFormat="1" applyFont="1"/>
    <xf numFmtId="0" fontId="11" fillId="0" borderId="0" xfId="0" applyFont="1" applyAlignment="1">
      <alignment horizontal="left" wrapText="1"/>
    </xf>
    <xf numFmtId="44" fontId="5" fillId="3" borderId="0" xfId="2" applyFont="1" applyFill="1" applyBorder="1" applyAlignment="1">
      <alignment vertical="center" wrapText="1"/>
    </xf>
    <xf numFmtId="0" fontId="0" fillId="3" borderId="10" xfId="0" applyFill="1" applyBorder="1" applyAlignment="1">
      <alignment wrapText="1"/>
    </xf>
    <xf numFmtId="44" fontId="0" fillId="3" borderId="11" xfId="2" applyFont="1" applyFill="1" applyBorder="1"/>
    <xf numFmtId="0" fontId="0" fillId="3" borderId="11" xfId="0" applyFill="1" applyBorder="1"/>
    <xf numFmtId="0" fontId="0" fillId="3" borderId="12" xfId="0" applyFill="1" applyBorder="1"/>
    <xf numFmtId="0" fontId="0" fillId="3" borderId="7" xfId="0" applyFill="1" applyBorder="1"/>
    <xf numFmtId="44" fontId="39" fillId="3" borderId="0" xfId="2" applyFont="1" applyFill="1" applyBorder="1"/>
    <xf numFmtId="0" fontId="38" fillId="3" borderId="7" xfId="0" applyFont="1" applyFill="1" applyBorder="1"/>
    <xf numFmtId="44" fontId="3" fillId="3" borderId="0" xfId="2" applyFont="1" applyFill="1" applyBorder="1"/>
    <xf numFmtId="44" fontId="3" fillId="3" borderId="13" xfId="2" applyFont="1" applyFill="1" applyBorder="1"/>
    <xf numFmtId="44" fontId="0" fillId="3" borderId="0" xfId="2" applyFont="1" applyFill="1" applyBorder="1"/>
    <xf numFmtId="0" fontId="0" fillId="3" borderId="0" xfId="0" applyFill="1" applyBorder="1"/>
    <xf numFmtId="0" fontId="0" fillId="3" borderId="13" xfId="0" applyFill="1" applyBorder="1"/>
    <xf numFmtId="0" fontId="42" fillId="3" borderId="0" xfId="0" applyFont="1" applyFill="1" applyBorder="1" applyAlignment="1">
      <alignment horizontal="left" wrapText="1"/>
    </xf>
    <xf numFmtId="0" fontId="42" fillId="3" borderId="13" xfId="0" applyFont="1" applyFill="1" applyBorder="1" applyAlignment="1">
      <alignment horizontal="left" wrapText="1"/>
    </xf>
    <xf numFmtId="16" fontId="0" fillId="3" borderId="0" xfId="0" applyNumberFormat="1" applyFill="1" applyBorder="1"/>
    <xf numFmtId="0" fontId="4" fillId="3" borderId="7" xfId="0" applyFont="1" applyFill="1" applyBorder="1" applyAlignment="1">
      <alignment wrapText="1"/>
    </xf>
    <xf numFmtId="44" fontId="37" fillId="3" borderId="0" xfId="2" applyFont="1" applyFill="1" applyBorder="1"/>
    <xf numFmtId="0" fontId="0" fillId="3" borderId="13" xfId="0" applyFill="1" applyBorder="1" applyAlignment="1">
      <alignment wrapText="1"/>
    </xf>
    <xf numFmtId="44" fontId="5" fillId="3" borderId="0" xfId="2" applyFont="1" applyFill="1" applyBorder="1" applyAlignment="1">
      <alignment wrapText="1"/>
    </xf>
    <xf numFmtId="0" fontId="44" fillId="3" borderId="0" xfId="0" applyFont="1" applyFill="1" applyBorder="1" applyAlignment="1">
      <alignment horizontal="left"/>
    </xf>
    <xf numFmtId="0" fontId="44" fillId="3" borderId="13" xfId="0" applyFont="1" applyFill="1" applyBorder="1" applyAlignment="1">
      <alignment horizontal="left"/>
    </xf>
    <xf numFmtId="0" fontId="42" fillId="3" borderId="0" xfId="0" applyFont="1" applyFill="1" applyBorder="1"/>
    <xf numFmtId="0" fontId="27" fillId="3" borderId="0" xfId="0" applyFont="1" applyFill="1" applyBorder="1"/>
    <xf numFmtId="44" fontId="3" fillId="3" borderId="9" xfId="2" applyFont="1" applyFill="1" applyBorder="1"/>
    <xf numFmtId="0" fontId="0" fillId="0" borderId="0" xfId="0" applyAlignment="1">
      <alignment horizontal="right"/>
    </xf>
    <xf numFmtId="44" fontId="3" fillId="4" borderId="9" xfId="2" applyFont="1" applyFill="1" applyBorder="1"/>
    <xf numFmtId="0" fontId="25" fillId="3" borderId="7" xfId="0" applyFont="1" applyFill="1" applyBorder="1" applyAlignment="1">
      <alignment wrapText="1"/>
    </xf>
    <xf numFmtId="0" fontId="0" fillId="3" borderId="0" xfId="0" applyFont="1" applyFill="1" applyBorder="1" applyAlignment="1">
      <alignment horizontal="left" vertical="center" wrapText="1"/>
    </xf>
    <xf numFmtId="0" fontId="0" fillId="3" borderId="13" xfId="0" applyFont="1" applyFill="1" applyBorder="1" applyAlignment="1">
      <alignment horizontal="left" vertical="center" wrapText="1"/>
    </xf>
    <xf numFmtId="0" fontId="25" fillId="0" borderId="10" xfId="0" applyFont="1" applyBorder="1" applyAlignment="1">
      <alignment horizontal="left" wrapText="1"/>
    </xf>
    <xf numFmtId="0" fontId="25" fillId="0" borderId="11" xfId="0" applyFont="1" applyBorder="1" applyAlignment="1">
      <alignment horizontal="left" wrapText="1"/>
    </xf>
    <xf numFmtId="0" fontId="45" fillId="0" borderId="14" xfId="3" applyFont="1" applyBorder="1"/>
    <xf numFmtId="44" fontId="27" fillId="0" borderId="15" xfId="2" applyFont="1" applyBorder="1"/>
    <xf numFmtId="0" fontId="27" fillId="0" borderId="15" xfId="0" applyFont="1" applyBorder="1"/>
    <xf numFmtId="0" fontId="27" fillId="0" borderId="16" xfId="0" applyFont="1" applyBorder="1"/>
    <xf numFmtId="44" fontId="27" fillId="4" borderId="18" xfId="2" applyFont="1" applyFill="1" applyBorder="1"/>
    <xf numFmtId="44" fontId="27" fillId="4" borderId="19" xfId="2" applyFont="1" applyFill="1" applyBorder="1"/>
    <xf numFmtId="44" fontId="0" fillId="4" borderId="17" xfId="2" applyFont="1" applyFill="1" applyBorder="1"/>
    <xf numFmtId="0" fontId="0" fillId="4" borderId="0" xfId="0" applyFill="1" applyBorder="1"/>
    <xf numFmtId="0" fontId="0" fillId="4" borderId="13" xfId="0" applyFill="1" applyBorder="1"/>
    <xf numFmtId="0" fontId="42" fillId="4" borderId="10" xfId="0" applyFont="1" applyFill="1" applyBorder="1" applyAlignment="1">
      <alignment horizontal="right"/>
    </xf>
    <xf numFmtId="44" fontId="27" fillId="4" borderId="20" xfId="2" applyFont="1" applyFill="1" applyBorder="1"/>
    <xf numFmtId="0" fontId="0" fillId="4" borderId="11" xfId="0" applyFill="1" applyBorder="1"/>
    <xf numFmtId="0" fontId="0" fillId="4" borderId="12" xfId="0" applyFill="1" applyBorder="1"/>
    <xf numFmtId="0" fontId="42" fillId="4" borderId="7" xfId="0" applyFont="1" applyFill="1" applyBorder="1" applyAlignment="1">
      <alignment horizontal="right"/>
    </xf>
    <xf numFmtId="0" fontId="0" fillId="4" borderId="21" xfId="0" applyFill="1" applyBorder="1"/>
    <xf numFmtId="0" fontId="0" fillId="4" borderId="14" xfId="0" applyFill="1" applyBorder="1"/>
    <xf numFmtId="44" fontId="0" fillId="4" borderId="15" xfId="2" applyFont="1" applyFill="1" applyBorder="1"/>
    <xf numFmtId="0" fontId="42" fillId="4" borderId="15" xfId="0" applyFont="1" applyFill="1" applyBorder="1"/>
    <xf numFmtId="0" fontId="0" fillId="4" borderId="15" xfId="0" applyFill="1" applyBorder="1"/>
    <xf numFmtId="0" fontId="0" fillId="4" borderId="16" xfId="0" applyFill="1" applyBorder="1"/>
    <xf numFmtId="0" fontId="25" fillId="0" borderId="0" xfId="0" applyFont="1" applyBorder="1" applyAlignment="1">
      <alignment horizontal="left" wrapText="1"/>
    </xf>
    <xf numFmtId="0" fontId="25" fillId="0" borderId="13" xfId="0" applyFont="1" applyBorder="1" applyAlignment="1">
      <alignment horizontal="left" wrapText="1"/>
    </xf>
    <xf numFmtId="44" fontId="0" fillId="4" borderId="10" xfId="2" applyFont="1" applyFill="1" applyBorder="1"/>
    <xf numFmtId="44" fontId="39" fillId="4" borderId="7" xfId="2" applyFont="1" applyFill="1" applyBorder="1"/>
    <xf numFmtId="0" fontId="3" fillId="4" borderId="0" xfId="0" applyFont="1" applyFill="1" applyBorder="1"/>
    <xf numFmtId="44" fontId="0" fillId="4" borderId="7" xfId="2" applyFont="1" applyFill="1" applyBorder="1"/>
    <xf numFmtId="44" fontId="3" fillId="4" borderId="7" xfId="2" applyFont="1" applyFill="1" applyBorder="1"/>
    <xf numFmtId="0" fontId="42" fillId="4" borderId="0" xfId="0" applyFont="1" applyFill="1" applyBorder="1" applyAlignment="1">
      <alignment horizontal="left" wrapText="1"/>
    </xf>
    <xf numFmtId="6" fontId="0" fillId="4" borderId="7" xfId="2" applyNumberFormat="1" applyFont="1" applyFill="1" applyBorder="1"/>
    <xf numFmtId="0" fontId="27" fillId="4" borderId="0" xfId="0" applyFont="1" applyFill="1" applyBorder="1"/>
    <xf numFmtId="16" fontId="0" fillId="4" borderId="0" xfId="0" applyNumberFormat="1" applyFill="1" applyBorder="1"/>
    <xf numFmtId="44" fontId="37" fillId="4" borderId="7" xfId="2" applyFont="1" applyFill="1" applyBorder="1"/>
    <xf numFmtId="44" fontId="5" fillId="4" borderId="7" xfId="2" applyFont="1" applyFill="1" applyBorder="1"/>
    <xf numFmtId="44" fontId="5" fillId="4" borderId="14" xfId="2" applyFont="1" applyFill="1" applyBorder="1" applyAlignment="1">
      <alignment vertical="center"/>
    </xf>
    <xf numFmtId="0" fontId="41" fillId="4" borderId="15" xfId="0" applyFont="1" applyFill="1" applyBorder="1" applyAlignment="1">
      <alignment horizontal="left" vertical="top" wrapText="1"/>
    </xf>
    <xf numFmtId="44" fontId="8" fillId="4" borderId="0" xfId="0" applyNumberFormat="1" applyFont="1" applyFill="1" applyBorder="1"/>
    <xf numFmtId="0" fontId="2" fillId="4" borderId="0" xfId="0" applyFont="1" applyFill="1" applyBorder="1"/>
    <xf numFmtId="44" fontId="8" fillId="5" borderId="10" xfId="0" applyNumberFormat="1" applyFont="1" applyFill="1" applyBorder="1"/>
    <xf numFmtId="44" fontId="8" fillId="5" borderId="11" xfId="0" applyNumberFormat="1" applyFont="1" applyFill="1" applyBorder="1"/>
    <xf numFmtId="0" fontId="2" fillId="5" borderId="12" xfId="0" applyFont="1" applyFill="1" applyBorder="1"/>
    <xf numFmtId="0" fontId="2" fillId="5" borderId="7" xfId="0" applyFont="1" applyFill="1" applyBorder="1"/>
    <xf numFmtId="44" fontId="2" fillId="5" borderId="0" xfId="0" applyNumberFormat="1" applyFont="1" applyFill="1" applyBorder="1"/>
    <xf numFmtId="0" fontId="2" fillId="5" borderId="13" xfId="0" applyFont="1" applyFill="1" applyBorder="1"/>
    <xf numFmtId="0" fontId="2" fillId="5" borderId="14" xfId="0" applyFont="1" applyFill="1" applyBorder="1"/>
    <xf numFmtId="44" fontId="2" fillId="5" borderId="15" xfId="0" applyNumberFormat="1" applyFont="1" applyFill="1" applyBorder="1"/>
    <xf numFmtId="0" fontId="2" fillId="5" borderId="16" xfId="0" applyFont="1" applyFill="1" applyBorder="1"/>
    <xf numFmtId="0" fontId="44" fillId="4" borderId="0" xfId="0" applyFont="1" applyFill="1" applyBorder="1" applyAlignment="1">
      <alignment wrapText="1"/>
    </xf>
    <xf numFmtId="0" fontId="46" fillId="0" borderId="0" xfId="0" applyFont="1"/>
    <xf numFmtId="0" fontId="47" fillId="0" borderId="0" xfId="0" applyFont="1"/>
    <xf numFmtId="0" fontId="48" fillId="0" borderId="0" xfId="0" applyFont="1"/>
    <xf numFmtId="8" fontId="48" fillId="0" borderId="0" xfId="0" applyNumberFormat="1" applyFont="1"/>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tessa.com/blog/how-to-calculate-depreciation-on-rental-proper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192D0-E894-C04D-93A1-0004F500CAB7}">
  <dimension ref="A1:L35"/>
  <sheetViews>
    <sheetView tabSelected="1" zoomScale="159" workbookViewId="0">
      <selection activeCell="F20" sqref="F20:F21"/>
    </sheetView>
  </sheetViews>
  <sheetFormatPr baseColWidth="10" defaultRowHeight="16"/>
  <cols>
    <col min="1" max="1" width="27.6640625" customWidth="1"/>
    <col min="2" max="2" width="14.33203125" style="16" customWidth="1"/>
    <col min="6" max="6" width="13.83203125" style="16" customWidth="1"/>
    <col min="9" max="9" width="8" customWidth="1"/>
    <col min="10" max="10" width="13" customWidth="1"/>
    <col min="11" max="11" width="11.83203125" customWidth="1"/>
    <col min="12" max="12" width="11.5" bestFit="1" customWidth="1"/>
  </cols>
  <sheetData>
    <row r="1" spans="1:12" ht="34">
      <c r="A1" s="113" t="s">
        <v>225</v>
      </c>
      <c r="B1" s="114" t="s">
        <v>213</v>
      </c>
      <c r="C1" s="115"/>
      <c r="D1" s="115"/>
      <c r="E1" s="116"/>
      <c r="F1" s="166" t="s">
        <v>291</v>
      </c>
      <c r="G1" s="155"/>
      <c r="H1" s="155"/>
      <c r="I1" s="155"/>
      <c r="J1" s="155"/>
      <c r="K1" s="155"/>
      <c r="L1" s="156"/>
    </row>
    <row r="2" spans="1:12" ht="38" customHeight="1" thickBot="1">
      <c r="A2" s="117"/>
      <c r="B2" s="118" t="s">
        <v>212</v>
      </c>
      <c r="C2" s="132"/>
      <c r="D2" s="132"/>
      <c r="E2" s="133"/>
      <c r="F2" s="167" t="s">
        <v>252</v>
      </c>
      <c r="G2" s="151"/>
      <c r="H2" s="151"/>
      <c r="I2" s="190"/>
      <c r="J2" s="190"/>
      <c r="K2" s="180" t="s">
        <v>227</v>
      </c>
      <c r="L2" s="152"/>
    </row>
    <row r="3" spans="1:12" s="10" customFormat="1" ht="22" thickBot="1">
      <c r="A3" s="119" t="s">
        <v>219</v>
      </c>
      <c r="B3" s="136">
        <f>SUM(B4:B8)</f>
        <v>30000</v>
      </c>
      <c r="C3" s="120"/>
      <c r="D3" s="120"/>
      <c r="E3" s="121"/>
      <c r="F3" s="138">
        <f>SUM(F4:F8)</f>
        <v>23175</v>
      </c>
      <c r="G3" s="168"/>
      <c r="H3" s="168"/>
      <c r="I3" s="168"/>
      <c r="J3" s="168"/>
      <c r="K3" s="179">
        <f>SUM(B3:F3)</f>
        <v>53175</v>
      </c>
      <c r="L3" s="152"/>
    </row>
    <row r="4" spans="1:12">
      <c r="A4" s="117" t="s">
        <v>285</v>
      </c>
      <c r="B4" s="122"/>
      <c r="C4" s="123"/>
      <c r="D4" s="123"/>
      <c r="E4" s="124"/>
      <c r="F4" s="169">
        <f>2000*8</f>
        <v>16000</v>
      </c>
      <c r="G4" s="151" t="s">
        <v>302</v>
      </c>
      <c r="H4" s="151"/>
      <c r="I4" s="151"/>
      <c r="J4" s="151"/>
      <c r="K4" s="151"/>
      <c r="L4" s="152"/>
    </row>
    <row r="5" spans="1:12">
      <c r="A5" s="117" t="s">
        <v>286</v>
      </c>
      <c r="B5" s="122"/>
      <c r="C5" s="123"/>
      <c r="D5" s="123"/>
      <c r="E5" s="124"/>
      <c r="F5" s="169">
        <f>1175+2400</f>
        <v>3575</v>
      </c>
      <c r="G5" s="151" t="s">
        <v>290</v>
      </c>
      <c r="H5" s="151"/>
      <c r="I5" s="151"/>
      <c r="J5" s="151"/>
      <c r="K5" s="151"/>
      <c r="L5" s="152"/>
    </row>
    <row r="6" spans="1:12">
      <c r="A6" s="117" t="s">
        <v>287</v>
      </c>
      <c r="B6" s="122"/>
      <c r="C6" s="123"/>
      <c r="D6" s="123"/>
      <c r="E6" s="124"/>
      <c r="F6" s="169">
        <f>1200+2400</f>
        <v>3600</v>
      </c>
      <c r="G6" s="151" t="s">
        <v>303</v>
      </c>
      <c r="H6" s="151"/>
      <c r="I6" s="151"/>
      <c r="J6" s="151"/>
      <c r="K6" s="151"/>
      <c r="L6" s="152"/>
    </row>
    <row r="7" spans="1:12">
      <c r="A7" s="117" t="s">
        <v>288</v>
      </c>
      <c r="B7" s="122">
        <f>2500*9</f>
        <v>22500</v>
      </c>
      <c r="C7" s="123" t="s">
        <v>301</v>
      </c>
      <c r="D7" s="123"/>
      <c r="E7" s="124"/>
      <c r="F7" s="169"/>
      <c r="G7" s="151"/>
      <c r="H7" s="151"/>
      <c r="I7" s="151"/>
      <c r="J7" s="151"/>
      <c r="K7" s="151"/>
      <c r="L7" s="152"/>
    </row>
    <row r="8" spans="1:12">
      <c r="A8" s="117" t="s">
        <v>289</v>
      </c>
      <c r="B8" s="122">
        <f>3*2500</f>
        <v>7500</v>
      </c>
      <c r="C8" s="123" t="s">
        <v>301</v>
      </c>
      <c r="D8" s="123"/>
      <c r="E8" s="124"/>
      <c r="F8" s="169"/>
      <c r="G8" s="151"/>
      <c r="H8" s="151"/>
      <c r="I8" s="151"/>
      <c r="J8" s="151"/>
      <c r="K8" s="151"/>
      <c r="L8" s="152"/>
    </row>
    <row r="9" spans="1:12" ht="17" thickBot="1">
      <c r="A9" s="117"/>
      <c r="B9" s="122"/>
      <c r="C9" s="123"/>
      <c r="D9" s="123"/>
      <c r="E9" s="124"/>
      <c r="F9" s="169"/>
      <c r="G9" s="151"/>
      <c r="H9" s="151"/>
      <c r="I9" s="151"/>
      <c r="J9" s="180" t="s">
        <v>305</v>
      </c>
      <c r="K9" s="151"/>
      <c r="L9" s="152"/>
    </row>
    <row r="10" spans="1:12" s="10" customFormat="1" ht="21">
      <c r="A10" s="119" t="s">
        <v>214</v>
      </c>
      <c r="B10" s="120">
        <f>SUM(B11:B23)</f>
        <v>7241.76</v>
      </c>
      <c r="C10" s="120"/>
      <c r="D10" s="120"/>
      <c r="E10" s="121"/>
      <c r="F10" s="170">
        <f>SUM(F11:F23)</f>
        <v>8660.56</v>
      </c>
      <c r="G10" s="168"/>
      <c r="H10" s="168"/>
      <c r="I10" s="168"/>
      <c r="J10" s="181">
        <f>SUM(B10:F10)</f>
        <v>15902.32</v>
      </c>
      <c r="K10" s="182">
        <f>K3-J10</f>
        <v>37272.68</v>
      </c>
      <c r="L10" s="183" t="s">
        <v>256</v>
      </c>
    </row>
    <row r="11" spans="1:12" ht="24" customHeight="1">
      <c r="A11" s="117" t="s">
        <v>215</v>
      </c>
      <c r="B11" s="122">
        <v>450</v>
      </c>
      <c r="C11" s="125" t="s">
        <v>217</v>
      </c>
      <c r="D11" s="125"/>
      <c r="E11" s="126"/>
      <c r="F11" s="169">
        <v>575.89</v>
      </c>
      <c r="G11" s="171" t="s">
        <v>258</v>
      </c>
      <c r="H11" s="171"/>
      <c r="I11" s="171"/>
      <c r="J11" s="184"/>
      <c r="K11" s="185">
        <f>B28+F28</f>
        <v>15581.818181818182</v>
      </c>
      <c r="L11" s="186" t="s">
        <v>77</v>
      </c>
    </row>
    <row r="12" spans="1:12" ht="17" thickBot="1">
      <c r="A12" s="117" t="s">
        <v>216</v>
      </c>
      <c r="B12" s="122">
        <v>40</v>
      </c>
      <c r="C12" s="123" t="s">
        <v>304</v>
      </c>
      <c r="D12" s="123"/>
      <c r="E12" s="124"/>
      <c r="F12" s="169"/>
      <c r="G12" s="151"/>
      <c r="H12" s="151"/>
      <c r="I12" s="151"/>
      <c r="J12" s="187"/>
      <c r="K12" s="188">
        <f>K10-K11</f>
        <v>21690.861818181816</v>
      </c>
      <c r="L12" s="189" t="s">
        <v>228</v>
      </c>
    </row>
    <row r="13" spans="1:12">
      <c r="A13" s="117" t="s">
        <v>221</v>
      </c>
      <c r="B13" s="122"/>
      <c r="C13" s="123"/>
      <c r="D13" s="123"/>
      <c r="E13" s="124"/>
      <c r="F13" s="172">
        <v>46</v>
      </c>
      <c r="G13" s="151" t="s">
        <v>299</v>
      </c>
      <c r="H13" s="151" t="s">
        <v>263</v>
      </c>
      <c r="I13" s="151"/>
      <c r="J13" s="151"/>
      <c r="K13" s="151"/>
      <c r="L13" s="152"/>
    </row>
    <row r="14" spans="1:12">
      <c r="A14" s="117" t="s">
        <v>222</v>
      </c>
      <c r="B14" s="122"/>
      <c r="C14" s="123"/>
      <c r="D14" s="123"/>
      <c r="E14" s="124"/>
      <c r="F14" s="169">
        <v>120</v>
      </c>
      <c r="G14" s="151" t="s">
        <v>299</v>
      </c>
      <c r="H14" s="151" t="s">
        <v>264</v>
      </c>
      <c r="I14" s="151"/>
      <c r="J14" s="151"/>
      <c r="K14" s="151"/>
      <c r="L14" s="152"/>
    </row>
    <row r="15" spans="1:12">
      <c r="A15" s="117" t="s">
        <v>223</v>
      </c>
      <c r="B15" s="122"/>
      <c r="C15" s="123"/>
      <c r="D15" s="123"/>
      <c r="E15" s="124"/>
      <c r="F15" s="169">
        <v>50</v>
      </c>
      <c r="G15" s="151" t="s">
        <v>296</v>
      </c>
      <c r="H15" s="151"/>
      <c r="I15" s="151"/>
      <c r="J15" s="151"/>
      <c r="K15" s="151"/>
      <c r="L15" s="152"/>
    </row>
    <row r="16" spans="1:12">
      <c r="A16" s="117" t="s">
        <v>218</v>
      </c>
      <c r="B16" s="122"/>
      <c r="C16" s="123"/>
      <c r="D16" s="123"/>
      <c r="E16" s="124"/>
      <c r="F16" s="169">
        <v>1200</v>
      </c>
      <c r="G16" s="151" t="s">
        <v>297</v>
      </c>
      <c r="H16" s="151"/>
      <c r="I16" s="151"/>
      <c r="J16" s="151"/>
      <c r="K16" s="151"/>
      <c r="L16" s="152"/>
    </row>
    <row r="17" spans="1:12">
      <c r="A17" s="117" t="s">
        <v>220</v>
      </c>
      <c r="B17" s="122">
        <f>70*12</f>
        <v>840</v>
      </c>
      <c r="C17" s="123" t="s">
        <v>293</v>
      </c>
      <c r="D17" s="123"/>
      <c r="E17" s="124"/>
      <c r="F17" s="169">
        <f>70*11</f>
        <v>770</v>
      </c>
      <c r="G17" s="151" t="s">
        <v>294</v>
      </c>
      <c r="H17" s="151"/>
      <c r="I17" s="151"/>
      <c r="J17" s="151"/>
      <c r="K17" s="151"/>
      <c r="L17" s="152"/>
    </row>
    <row r="18" spans="1:12">
      <c r="A18" s="117" t="s">
        <v>259</v>
      </c>
      <c r="B18" s="122">
        <f>128*12</f>
        <v>1536</v>
      </c>
      <c r="C18" s="135" t="s">
        <v>292</v>
      </c>
      <c r="D18" s="123"/>
      <c r="E18" s="124"/>
      <c r="F18" s="169">
        <f>128*12</f>
        <v>1536</v>
      </c>
      <c r="G18" s="173" t="str">
        <f>C18</f>
        <v>Fees increased in Jan24: $146/mo</v>
      </c>
      <c r="H18" s="151"/>
      <c r="I18" s="151"/>
      <c r="J18" s="151"/>
      <c r="K18" s="151"/>
      <c r="L18" s="152"/>
    </row>
    <row r="19" spans="1:12">
      <c r="A19" s="117" t="s">
        <v>282</v>
      </c>
      <c r="B19" s="122">
        <f>MILEAGE!J3*0.655</f>
        <v>112.66000000000001</v>
      </c>
      <c r="C19" s="134" t="s">
        <v>298</v>
      </c>
      <c r="D19" s="123"/>
      <c r="E19" s="124"/>
      <c r="F19" s="169"/>
      <c r="G19" s="151"/>
      <c r="H19" s="151"/>
      <c r="I19" s="151"/>
      <c r="J19" s="151"/>
      <c r="K19" s="151"/>
      <c r="L19" s="152"/>
    </row>
    <row r="20" spans="1:12">
      <c r="A20" s="117" t="s">
        <v>224</v>
      </c>
      <c r="B20" s="122">
        <v>1826.13</v>
      </c>
      <c r="C20" s="127">
        <v>45130</v>
      </c>
      <c r="D20" s="123"/>
      <c r="E20" s="124"/>
      <c r="F20" s="169">
        <v>1818.33</v>
      </c>
      <c r="G20" s="174">
        <v>45130</v>
      </c>
      <c r="H20" s="151"/>
      <c r="I20" s="151"/>
      <c r="J20" s="151"/>
      <c r="K20" s="151"/>
      <c r="L20" s="152"/>
    </row>
    <row r="21" spans="1:12">
      <c r="A21" s="117" t="s">
        <v>224</v>
      </c>
      <c r="B21" s="122">
        <v>1826.13</v>
      </c>
      <c r="C21" s="127">
        <v>45264</v>
      </c>
      <c r="D21" s="123"/>
      <c r="E21" s="124"/>
      <c r="F21" s="169">
        <v>1818.33</v>
      </c>
      <c r="G21" s="174">
        <v>45264</v>
      </c>
      <c r="H21" s="151"/>
      <c r="I21" s="151"/>
      <c r="J21" s="151"/>
      <c r="K21" s="151"/>
      <c r="L21" s="152"/>
    </row>
    <row r="22" spans="1:12">
      <c r="A22" s="117" t="s">
        <v>257</v>
      </c>
      <c r="B22" s="122">
        <v>610.84</v>
      </c>
      <c r="C22" s="127">
        <v>45100</v>
      </c>
      <c r="D22" s="123"/>
      <c r="E22" s="124"/>
      <c r="F22" s="169">
        <v>596.01</v>
      </c>
      <c r="G22" s="174">
        <v>45100</v>
      </c>
      <c r="H22" s="151"/>
      <c r="I22" s="151"/>
      <c r="J22" s="151"/>
      <c r="K22" s="151"/>
      <c r="L22" s="152"/>
    </row>
    <row r="23" spans="1:12">
      <c r="A23" s="117" t="s">
        <v>300</v>
      </c>
      <c r="B23" s="122"/>
      <c r="C23" s="123"/>
      <c r="D23" s="123"/>
      <c r="E23" s="124"/>
      <c r="F23" s="169">
        <v>130</v>
      </c>
      <c r="G23" s="151" t="s">
        <v>283</v>
      </c>
      <c r="H23" s="151"/>
      <c r="I23" s="151"/>
      <c r="J23" s="151"/>
      <c r="K23" s="151"/>
      <c r="L23" s="152"/>
    </row>
    <row r="24" spans="1:12">
      <c r="A24" s="117"/>
      <c r="B24" s="122"/>
      <c r="C24" s="123"/>
      <c r="D24" s="123"/>
      <c r="E24" s="124"/>
      <c r="F24" s="169"/>
      <c r="G24" s="151"/>
      <c r="H24" s="151"/>
      <c r="I24" s="151"/>
      <c r="J24" s="151"/>
      <c r="K24" s="151"/>
      <c r="L24" s="152"/>
    </row>
    <row r="25" spans="1:12">
      <c r="A25" s="128" t="s">
        <v>186</v>
      </c>
      <c r="B25" s="129">
        <v>353722.17</v>
      </c>
      <c r="C25" s="123"/>
      <c r="D25" s="123"/>
      <c r="E25" s="130"/>
      <c r="F25" s="175">
        <v>383417.76</v>
      </c>
      <c r="G25" s="151" t="s">
        <v>208</v>
      </c>
      <c r="H25" s="151"/>
      <c r="I25" s="151"/>
      <c r="J25" s="151"/>
      <c r="K25" s="151"/>
      <c r="L25" s="152"/>
    </row>
    <row r="26" spans="1:12" ht="18" customHeight="1">
      <c r="A26" s="128" t="s">
        <v>253</v>
      </c>
      <c r="B26" s="131">
        <v>130500</v>
      </c>
      <c r="C26" s="123"/>
      <c r="D26" s="123"/>
      <c r="E26" s="130"/>
      <c r="F26" s="176">
        <v>121700</v>
      </c>
      <c r="G26" s="151" t="s">
        <v>254</v>
      </c>
      <c r="H26" s="151"/>
      <c r="I26" s="151"/>
      <c r="J26" s="151"/>
      <c r="K26" s="151"/>
      <c r="L26" s="152"/>
    </row>
    <row r="27" spans="1:12" ht="29">
      <c r="A27" s="128" t="s">
        <v>195</v>
      </c>
      <c r="B27" s="131">
        <v>210600</v>
      </c>
      <c r="C27" s="123"/>
      <c r="D27" s="123"/>
      <c r="E27" s="130"/>
      <c r="F27" s="176">
        <v>217900</v>
      </c>
      <c r="G27" s="151"/>
      <c r="H27" s="151"/>
      <c r="I27" s="151"/>
      <c r="J27" s="151"/>
      <c r="K27" s="151"/>
      <c r="L27" s="152"/>
    </row>
    <row r="28" spans="1:12" ht="25" customHeight="1" thickBot="1">
      <c r="A28" s="139" t="s">
        <v>187</v>
      </c>
      <c r="B28" s="112">
        <f>(B27)/27.5</f>
        <v>7658.181818181818</v>
      </c>
      <c r="C28" s="140" t="s">
        <v>295</v>
      </c>
      <c r="D28" s="140"/>
      <c r="E28" s="141"/>
      <c r="F28" s="177">
        <f>(F27)/27.5</f>
        <v>7923.636363636364</v>
      </c>
      <c r="G28" s="178" t="s">
        <v>255</v>
      </c>
      <c r="H28" s="178"/>
      <c r="I28" s="178"/>
      <c r="J28" s="162"/>
      <c r="K28" s="162"/>
      <c r="L28" s="163"/>
    </row>
    <row r="29" spans="1:12" ht="69" customHeight="1">
      <c r="A29" s="142" t="s">
        <v>189</v>
      </c>
      <c r="B29" s="143"/>
      <c r="C29" s="143"/>
      <c r="D29" s="143"/>
      <c r="E29" s="143"/>
      <c r="F29" s="164"/>
      <c r="G29" s="164"/>
      <c r="H29" s="164"/>
      <c r="I29" s="165"/>
    </row>
    <row r="30" spans="1:12" ht="17" thickBot="1">
      <c r="A30" s="144" t="s">
        <v>260</v>
      </c>
      <c r="B30" s="145"/>
      <c r="C30" s="146"/>
      <c r="D30" s="146"/>
      <c r="E30" s="146"/>
      <c r="F30" s="145"/>
      <c r="G30" s="146"/>
      <c r="H30" s="146"/>
      <c r="I30" s="147"/>
    </row>
    <row r="31" spans="1:12">
      <c r="A31" s="153" t="s">
        <v>226</v>
      </c>
      <c r="B31" s="154">
        <v>5640</v>
      </c>
      <c r="C31" s="155"/>
      <c r="D31" s="155"/>
      <c r="E31" s="156"/>
    </row>
    <row r="32" spans="1:12">
      <c r="A32" s="157" t="s">
        <v>243</v>
      </c>
      <c r="B32" s="148">
        <f>'MED EXP 2023'!F47</f>
        <v>672</v>
      </c>
      <c r="C32" s="151"/>
      <c r="D32" s="151"/>
      <c r="E32" s="152"/>
    </row>
    <row r="33" spans="1:5">
      <c r="A33" s="157" t="s">
        <v>248</v>
      </c>
      <c r="B33" s="149">
        <f>'MED EXP 2023'!F44</f>
        <v>737.8</v>
      </c>
      <c r="C33" s="151"/>
      <c r="D33" s="151"/>
      <c r="E33" s="152"/>
    </row>
    <row r="34" spans="1:5">
      <c r="A34" s="158" t="s">
        <v>249</v>
      </c>
      <c r="B34" s="150">
        <f>'MED EXP 2023'!F50</f>
        <v>7049.8</v>
      </c>
      <c r="C34" s="151"/>
      <c r="D34" s="151"/>
      <c r="E34" s="152"/>
    </row>
    <row r="35" spans="1:5" ht="17" thickBot="1">
      <c r="A35" s="159" t="s">
        <v>251</v>
      </c>
      <c r="B35" s="160">
        <v>200</v>
      </c>
      <c r="C35" s="161" t="s">
        <v>284</v>
      </c>
      <c r="D35" s="162"/>
      <c r="E35" s="163"/>
    </row>
  </sheetData>
  <mergeCells count="6">
    <mergeCell ref="G11:I11"/>
    <mergeCell ref="G28:I28"/>
    <mergeCell ref="C11:E11"/>
    <mergeCell ref="A29:I29"/>
    <mergeCell ref="C2:E2"/>
    <mergeCell ref="C28:E28"/>
  </mergeCells>
  <hyperlinks>
    <hyperlink ref="A30" r:id="rId1" xr:uid="{06CB9BFC-2652-FF42-89B5-5C99CFAD7E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1ECD-8794-454C-A13E-409670DE713F}">
  <dimension ref="A1:J10"/>
  <sheetViews>
    <sheetView zoomScale="150" workbookViewId="0">
      <selection activeCell="J3" sqref="J3"/>
    </sheetView>
  </sheetViews>
  <sheetFormatPr baseColWidth="10" defaultRowHeight="16"/>
  <cols>
    <col min="1" max="1" width="25" customWidth="1"/>
    <col min="5" max="5" width="11.83203125" customWidth="1"/>
  </cols>
  <sheetData>
    <row r="1" spans="1:10">
      <c r="B1" t="s">
        <v>262</v>
      </c>
    </row>
    <row r="2" spans="1:10">
      <c r="C2" t="s">
        <v>211</v>
      </c>
      <c r="F2" t="s">
        <v>261</v>
      </c>
    </row>
    <row r="3" spans="1:10">
      <c r="C3" s="10">
        <f>SUM(C4:C17)</f>
        <v>127</v>
      </c>
      <c r="F3" s="10">
        <f>SUM(F4:F17)</f>
        <v>45</v>
      </c>
      <c r="J3" s="88">
        <f>SUM(C3:F3)</f>
        <v>172</v>
      </c>
    </row>
    <row r="4" spans="1:10">
      <c r="A4" t="s">
        <v>265</v>
      </c>
      <c r="B4" t="s">
        <v>270</v>
      </c>
      <c r="C4">
        <v>16</v>
      </c>
      <c r="E4" t="s">
        <v>267</v>
      </c>
      <c r="F4">
        <v>18</v>
      </c>
      <c r="G4" t="s">
        <v>269</v>
      </c>
      <c r="I4" t="s">
        <v>281</v>
      </c>
    </row>
    <row r="5" spans="1:10">
      <c r="A5" t="s">
        <v>271</v>
      </c>
      <c r="B5" t="s">
        <v>263</v>
      </c>
      <c r="C5">
        <v>21</v>
      </c>
      <c r="E5" t="s">
        <v>268</v>
      </c>
      <c r="F5">
        <v>21</v>
      </c>
      <c r="G5" t="str">
        <f>G4</f>
        <v>HD, Lowes and house</v>
      </c>
      <c r="I5" t="s">
        <v>266</v>
      </c>
    </row>
    <row r="6" spans="1:10">
      <c r="A6" t="s">
        <v>279</v>
      </c>
      <c r="B6" t="s">
        <v>272</v>
      </c>
      <c r="C6">
        <v>21</v>
      </c>
      <c r="E6" t="s">
        <v>280</v>
      </c>
      <c r="F6">
        <v>6</v>
      </c>
    </row>
    <row r="7" spans="1:10">
      <c r="A7" t="s">
        <v>275</v>
      </c>
      <c r="B7" t="s">
        <v>274</v>
      </c>
      <c r="C7">
        <v>18</v>
      </c>
    </row>
    <row r="8" spans="1:10">
      <c r="A8" t="s">
        <v>275</v>
      </c>
      <c r="B8" t="s">
        <v>273</v>
      </c>
      <c r="C8">
        <v>18</v>
      </c>
    </row>
    <row r="9" spans="1:10">
      <c r="A9" t="s">
        <v>276</v>
      </c>
      <c r="B9" t="str">
        <f>B7</f>
        <v>Oct. 23, 2023</v>
      </c>
      <c r="C9">
        <v>12</v>
      </c>
    </row>
    <row r="10" spans="1:10">
      <c r="A10" t="s">
        <v>277</v>
      </c>
      <c r="B10" t="s">
        <v>278</v>
      </c>
      <c r="C10">
        <v>21</v>
      </c>
    </row>
  </sheetData>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20BC4-6E97-4042-9BBC-EAAA241FEB74}">
  <dimension ref="A2:H50"/>
  <sheetViews>
    <sheetView topLeftCell="A29" workbookViewId="0">
      <selection activeCell="F48" sqref="F48"/>
    </sheetView>
  </sheetViews>
  <sheetFormatPr baseColWidth="10" defaultRowHeight="16"/>
  <cols>
    <col min="4" max="4" width="33.5" customWidth="1"/>
  </cols>
  <sheetData>
    <row r="2" spans="1:8">
      <c r="A2" t="s">
        <v>242</v>
      </c>
    </row>
    <row r="3" spans="1:8">
      <c r="A3" t="s">
        <v>161</v>
      </c>
      <c r="B3" t="s">
        <v>162</v>
      </c>
      <c r="C3" t="s">
        <v>163</v>
      </c>
      <c r="D3" t="s">
        <v>164</v>
      </c>
      <c r="E3" t="s">
        <v>165</v>
      </c>
      <c r="F3" t="s">
        <v>166</v>
      </c>
    </row>
    <row r="4" spans="1:8">
      <c r="A4" s="11">
        <v>45288</v>
      </c>
      <c r="B4" s="11">
        <v>45289</v>
      </c>
      <c r="C4">
        <v>3725</v>
      </c>
      <c r="D4" t="s">
        <v>229</v>
      </c>
      <c r="E4" t="s">
        <v>167</v>
      </c>
      <c r="H4">
        <v>7.72</v>
      </c>
    </row>
    <row r="5" spans="1:8">
      <c r="A5" s="11">
        <v>45287</v>
      </c>
      <c r="B5" s="11">
        <v>45288</v>
      </c>
      <c r="C5">
        <v>3725</v>
      </c>
      <c r="D5" t="s">
        <v>230</v>
      </c>
      <c r="E5" t="s">
        <v>167</v>
      </c>
      <c r="H5">
        <v>10</v>
      </c>
    </row>
    <row r="6" spans="1:8">
      <c r="A6" s="11">
        <v>45255</v>
      </c>
      <c r="B6" s="11">
        <v>45257</v>
      </c>
      <c r="C6">
        <v>8733</v>
      </c>
      <c r="D6" t="s">
        <v>170</v>
      </c>
      <c r="E6" t="s">
        <v>167</v>
      </c>
      <c r="H6">
        <v>1.34</v>
      </c>
    </row>
    <row r="7" spans="1:8">
      <c r="A7" s="11">
        <v>45254</v>
      </c>
      <c r="B7" s="11">
        <v>45255</v>
      </c>
      <c r="C7">
        <v>3725</v>
      </c>
      <c r="D7" t="s">
        <v>231</v>
      </c>
      <c r="E7" t="s">
        <v>167</v>
      </c>
      <c r="H7">
        <v>4.51</v>
      </c>
    </row>
    <row r="8" spans="1:8">
      <c r="A8" s="11">
        <v>45247</v>
      </c>
      <c r="B8" s="11">
        <v>45248</v>
      </c>
      <c r="C8">
        <v>3725</v>
      </c>
      <c r="D8" t="s">
        <v>160</v>
      </c>
      <c r="E8" t="s">
        <v>167</v>
      </c>
      <c r="F8">
        <v>20</v>
      </c>
    </row>
    <row r="9" spans="1:8">
      <c r="A9" s="11">
        <v>45245</v>
      </c>
      <c r="B9" s="11">
        <v>45246</v>
      </c>
      <c r="C9">
        <v>8733</v>
      </c>
      <c r="D9" t="s">
        <v>160</v>
      </c>
      <c r="E9" t="s">
        <v>167</v>
      </c>
      <c r="F9">
        <v>20</v>
      </c>
    </row>
    <row r="10" spans="1:8">
      <c r="A10" s="11">
        <v>45245</v>
      </c>
      <c r="B10" s="11">
        <v>45246</v>
      </c>
      <c r="C10">
        <v>3725</v>
      </c>
      <c r="D10" t="s">
        <v>232</v>
      </c>
      <c r="E10" t="s">
        <v>167</v>
      </c>
      <c r="H10">
        <v>3.66</v>
      </c>
    </row>
    <row r="11" spans="1:8">
      <c r="A11" s="11">
        <v>45231</v>
      </c>
      <c r="B11" s="11">
        <v>45232</v>
      </c>
      <c r="C11">
        <v>8733</v>
      </c>
      <c r="D11" t="s">
        <v>233</v>
      </c>
      <c r="E11" t="s">
        <v>167</v>
      </c>
      <c r="F11">
        <v>20</v>
      </c>
    </row>
    <row r="12" spans="1:8">
      <c r="A12" s="11">
        <v>45227</v>
      </c>
      <c r="B12" s="11">
        <v>45229</v>
      </c>
      <c r="C12">
        <v>8733</v>
      </c>
      <c r="D12" t="s">
        <v>230</v>
      </c>
      <c r="E12" t="s">
        <v>167</v>
      </c>
      <c r="H12">
        <v>17.14</v>
      </c>
    </row>
    <row r="13" spans="1:8">
      <c r="A13" s="11">
        <v>45225</v>
      </c>
      <c r="B13" s="11">
        <v>45226</v>
      </c>
      <c r="C13">
        <v>3725</v>
      </c>
      <c r="D13" t="s">
        <v>234</v>
      </c>
      <c r="E13" t="s">
        <v>167</v>
      </c>
      <c r="H13">
        <v>7.27</v>
      </c>
    </row>
    <row r="14" spans="1:8">
      <c r="A14" s="11">
        <v>45223</v>
      </c>
      <c r="B14" s="11">
        <v>45224</v>
      </c>
      <c r="C14">
        <v>8733</v>
      </c>
      <c r="D14" t="s">
        <v>170</v>
      </c>
      <c r="E14" t="s">
        <v>167</v>
      </c>
      <c r="H14">
        <v>11.34</v>
      </c>
    </row>
    <row r="15" spans="1:8">
      <c r="A15" s="11">
        <v>45223</v>
      </c>
      <c r="B15" s="11">
        <v>45224</v>
      </c>
      <c r="C15">
        <v>3725</v>
      </c>
      <c r="D15" t="s">
        <v>230</v>
      </c>
      <c r="E15" t="s">
        <v>167</v>
      </c>
      <c r="H15">
        <v>16</v>
      </c>
    </row>
    <row r="16" spans="1:8">
      <c r="A16" s="11">
        <v>45209</v>
      </c>
      <c r="B16" s="11">
        <v>45210</v>
      </c>
      <c r="C16">
        <v>8733</v>
      </c>
      <c r="D16" t="s">
        <v>159</v>
      </c>
      <c r="E16" t="s">
        <v>167</v>
      </c>
      <c r="F16">
        <v>20</v>
      </c>
    </row>
    <row r="17" spans="1:8">
      <c r="A17" s="11">
        <v>45209</v>
      </c>
      <c r="B17" s="11">
        <v>45210</v>
      </c>
      <c r="C17">
        <v>8733</v>
      </c>
      <c r="D17" t="s">
        <v>233</v>
      </c>
      <c r="E17" t="s">
        <v>167</v>
      </c>
      <c r="F17">
        <v>20</v>
      </c>
    </row>
    <row r="18" spans="1:8">
      <c r="A18" s="11">
        <v>45201</v>
      </c>
      <c r="B18" s="11">
        <v>45202</v>
      </c>
      <c r="C18">
        <v>8733</v>
      </c>
      <c r="D18" t="s">
        <v>235</v>
      </c>
      <c r="E18" t="s">
        <v>167</v>
      </c>
      <c r="F18">
        <v>40</v>
      </c>
    </row>
    <row r="19" spans="1:8">
      <c r="A19" s="11">
        <v>45189</v>
      </c>
      <c r="B19" s="11">
        <v>45190</v>
      </c>
      <c r="C19">
        <v>8733</v>
      </c>
      <c r="D19" t="s">
        <v>236</v>
      </c>
      <c r="E19" t="s">
        <v>167</v>
      </c>
      <c r="F19">
        <v>23.3</v>
      </c>
    </row>
    <row r="20" spans="1:8">
      <c r="A20" s="11">
        <v>45188</v>
      </c>
      <c r="B20" s="11">
        <v>45189</v>
      </c>
      <c r="C20">
        <v>8733</v>
      </c>
      <c r="D20" t="s">
        <v>237</v>
      </c>
      <c r="E20" t="s">
        <v>167</v>
      </c>
      <c r="F20">
        <v>175</v>
      </c>
    </row>
    <row r="21" spans="1:8">
      <c r="A21" s="11">
        <v>45175</v>
      </c>
      <c r="B21" s="11">
        <v>45176</v>
      </c>
      <c r="C21">
        <v>3725</v>
      </c>
      <c r="D21" t="s">
        <v>159</v>
      </c>
      <c r="E21" t="s">
        <v>167</v>
      </c>
      <c r="F21">
        <v>20</v>
      </c>
    </row>
    <row r="22" spans="1:8">
      <c r="A22" s="11">
        <v>45101</v>
      </c>
      <c r="B22" s="11">
        <v>45103</v>
      </c>
      <c r="C22">
        <v>8733</v>
      </c>
      <c r="D22" t="s">
        <v>170</v>
      </c>
      <c r="E22" t="s">
        <v>167</v>
      </c>
      <c r="H22">
        <v>10</v>
      </c>
    </row>
    <row r="23" spans="1:8">
      <c r="A23" s="11">
        <v>45089</v>
      </c>
      <c r="B23" s="11">
        <v>45090</v>
      </c>
      <c r="C23">
        <v>3725</v>
      </c>
      <c r="D23" t="s">
        <v>238</v>
      </c>
      <c r="E23" t="s">
        <v>167</v>
      </c>
      <c r="F23">
        <v>40</v>
      </c>
    </row>
    <row r="24" spans="1:8">
      <c r="A24" s="11">
        <v>45072</v>
      </c>
      <c r="B24" s="11">
        <v>45073</v>
      </c>
      <c r="C24">
        <v>8733</v>
      </c>
      <c r="D24" t="s">
        <v>238</v>
      </c>
      <c r="E24" t="s">
        <v>167</v>
      </c>
      <c r="F24">
        <v>20</v>
      </c>
    </row>
    <row r="25" spans="1:8">
      <c r="A25" s="11">
        <v>45058</v>
      </c>
      <c r="B25" s="11">
        <v>45059</v>
      </c>
      <c r="C25">
        <v>3725</v>
      </c>
      <c r="D25" t="s">
        <v>238</v>
      </c>
      <c r="E25" t="s">
        <v>167</v>
      </c>
      <c r="F25">
        <v>20</v>
      </c>
    </row>
    <row r="26" spans="1:8">
      <c r="A26" s="11">
        <v>45042</v>
      </c>
      <c r="B26" s="11">
        <v>45043</v>
      </c>
      <c r="C26">
        <v>8733</v>
      </c>
      <c r="D26" t="s">
        <v>170</v>
      </c>
      <c r="E26" t="s">
        <v>167</v>
      </c>
      <c r="H26">
        <v>10</v>
      </c>
    </row>
    <row r="27" spans="1:8">
      <c r="A27" s="11">
        <v>45033</v>
      </c>
      <c r="B27" s="11">
        <v>45034</v>
      </c>
      <c r="C27">
        <v>8733</v>
      </c>
      <c r="D27" t="s">
        <v>170</v>
      </c>
      <c r="E27" t="s">
        <v>167</v>
      </c>
      <c r="H27">
        <v>10</v>
      </c>
    </row>
    <row r="28" spans="1:8">
      <c r="A28" s="11">
        <v>45028</v>
      </c>
      <c r="B28" s="11">
        <v>45030</v>
      </c>
      <c r="C28">
        <v>8733</v>
      </c>
      <c r="D28" t="s">
        <v>171</v>
      </c>
      <c r="E28" t="s">
        <v>167</v>
      </c>
      <c r="F28">
        <v>35</v>
      </c>
    </row>
    <row r="29" spans="1:8">
      <c r="A29" s="11">
        <v>45022</v>
      </c>
      <c r="B29" s="11">
        <v>45023</v>
      </c>
      <c r="C29">
        <v>8733</v>
      </c>
      <c r="D29" t="s">
        <v>233</v>
      </c>
      <c r="E29" t="s">
        <v>167</v>
      </c>
      <c r="F29">
        <v>20</v>
      </c>
    </row>
    <row r="30" spans="1:8">
      <c r="A30" s="11">
        <v>45020</v>
      </c>
      <c r="B30" s="11">
        <v>45021</v>
      </c>
      <c r="C30">
        <v>8733</v>
      </c>
      <c r="D30" t="s">
        <v>239</v>
      </c>
      <c r="E30" t="s">
        <v>167</v>
      </c>
      <c r="F30">
        <v>20</v>
      </c>
    </row>
    <row r="31" spans="1:8">
      <c r="A31" s="11">
        <v>45009</v>
      </c>
      <c r="B31" s="11">
        <v>45010</v>
      </c>
      <c r="C31">
        <v>8733</v>
      </c>
      <c r="D31" t="s">
        <v>240</v>
      </c>
      <c r="E31" t="s">
        <v>167</v>
      </c>
      <c r="F31">
        <v>20</v>
      </c>
    </row>
    <row r="32" spans="1:8">
      <c r="A32" s="11">
        <v>44999</v>
      </c>
      <c r="B32" s="11">
        <v>45000</v>
      </c>
      <c r="C32">
        <v>3725</v>
      </c>
      <c r="D32" t="s">
        <v>159</v>
      </c>
      <c r="E32" t="s">
        <v>167</v>
      </c>
      <c r="F32">
        <v>20</v>
      </c>
    </row>
    <row r="33" spans="1:8">
      <c r="A33" s="11">
        <v>44993</v>
      </c>
      <c r="B33" s="11">
        <v>44994</v>
      </c>
      <c r="C33">
        <v>8733</v>
      </c>
      <c r="D33" t="s">
        <v>170</v>
      </c>
      <c r="E33" t="s">
        <v>167</v>
      </c>
      <c r="H33">
        <v>10</v>
      </c>
    </row>
    <row r="34" spans="1:8">
      <c r="A34" s="11">
        <v>44986</v>
      </c>
      <c r="B34" s="11">
        <v>44987</v>
      </c>
      <c r="C34">
        <v>8733</v>
      </c>
      <c r="D34" t="s">
        <v>239</v>
      </c>
      <c r="E34" t="s">
        <v>167</v>
      </c>
      <c r="F34">
        <v>20</v>
      </c>
    </row>
    <row r="35" spans="1:8">
      <c r="A35" s="11">
        <v>44973</v>
      </c>
      <c r="B35" s="11">
        <v>44974</v>
      </c>
      <c r="C35">
        <v>8733</v>
      </c>
      <c r="D35" t="s">
        <v>240</v>
      </c>
      <c r="E35" t="s">
        <v>167</v>
      </c>
      <c r="F35">
        <v>20</v>
      </c>
    </row>
    <row r="36" spans="1:8">
      <c r="A36" s="11">
        <v>44965</v>
      </c>
      <c r="B36" s="11">
        <v>44966</v>
      </c>
      <c r="C36">
        <v>3725</v>
      </c>
      <c r="D36" t="s">
        <v>241</v>
      </c>
      <c r="E36" t="s">
        <v>167</v>
      </c>
      <c r="F36">
        <v>20</v>
      </c>
    </row>
    <row r="37" spans="1:8">
      <c r="A37" s="11">
        <v>44960</v>
      </c>
      <c r="B37" s="11">
        <v>44961</v>
      </c>
      <c r="C37">
        <v>3725</v>
      </c>
      <c r="D37" t="s">
        <v>160</v>
      </c>
      <c r="E37" t="s">
        <v>167</v>
      </c>
      <c r="F37">
        <v>20</v>
      </c>
    </row>
    <row r="38" spans="1:8">
      <c r="A38" s="11">
        <v>44956</v>
      </c>
      <c r="B38" s="11">
        <v>44957</v>
      </c>
      <c r="C38">
        <v>3725</v>
      </c>
      <c r="D38" t="s">
        <v>159</v>
      </c>
      <c r="E38" t="s">
        <v>167</v>
      </c>
      <c r="F38">
        <v>20</v>
      </c>
    </row>
    <row r="39" spans="1:8">
      <c r="A39" s="11">
        <v>44950</v>
      </c>
      <c r="B39" s="11">
        <v>44951</v>
      </c>
      <c r="C39">
        <v>3725</v>
      </c>
      <c r="D39" t="s">
        <v>159</v>
      </c>
      <c r="E39" t="s">
        <v>167</v>
      </c>
      <c r="F39">
        <v>40</v>
      </c>
    </row>
    <row r="40" spans="1:8">
      <c r="A40" s="11">
        <v>44931</v>
      </c>
      <c r="B40" s="11">
        <v>44932</v>
      </c>
      <c r="C40">
        <v>8733</v>
      </c>
      <c r="D40" t="s">
        <v>160</v>
      </c>
      <c r="E40" t="s">
        <v>167</v>
      </c>
      <c r="F40">
        <v>20</v>
      </c>
    </row>
    <row r="41" spans="1:8">
      <c r="A41" s="11">
        <v>44930</v>
      </c>
      <c r="B41" s="11">
        <v>44931</v>
      </c>
      <c r="C41">
        <v>3725</v>
      </c>
      <c r="D41" t="s">
        <v>159</v>
      </c>
      <c r="E41" t="s">
        <v>167</v>
      </c>
      <c r="F41">
        <v>24.5</v>
      </c>
    </row>
    <row r="42" spans="1:8">
      <c r="A42" s="11">
        <v>44929</v>
      </c>
      <c r="B42" s="11">
        <v>44930</v>
      </c>
      <c r="C42">
        <v>8733</v>
      </c>
      <c r="D42" t="s">
        <v>170</v>
      </c>
      <c r="E42" t="s">
        <v>167</v>
      </c>
      <c r="H42">
        <v>120</v>
      </c>
    </row>
    <row r="44" spans="1:8">
      <c r="A44" t="s">
        <v>250</v>
      </c>
      <c r="F44" s="10">
        <f>SUM(F4:F43)</f>
        <v>737.8</v>
      </c>
      <c r="H44" s="10">
        <f>SUM(H4:H42)</f>
        <v>238.98000000000002</v>
      </c>
    </row>
    <row r="46" spans="1:8">
      <c r="A46" t="s">
        <v>243</v>
      </c>
    </row>
    <row r="47" spans="1:8">
      <c r="B47" t="s">
        <v>244</v>
      </c>
      <c r="C47">
        <v>56</v>
      </c>
      <c r="E47" s="137" t="s">
        <v>245</v>
      </c>
      <c r="F47" s="10">
        <f>C47*12</f>
        <v>672</v>
      </c>
    </row>
    <row r="48" spans="1:8">
      <c r="A48" t="s">
        <v>246</v>
      </c>
      <c r="C48">
        <v>470</v>
      </c>
      <c r="F48" s="86">
        <f>C48*12</f>
        <v>5640</v>
      </c>
    </row>
    <row r="50" spans="1:6" ht="19">
      <c r="A50" t="s">
        <v>247</v>
      </c>
      <c r="F50" s="87">
        <f>SUM(F44:F48)</f>
        <v>7049.8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A85B7-B241-AB44-963C-3375E75A92B7}">
  <dimension ref="B4:E11"/>
  <sheetViews>
    <sheetView topLeftCell="A2" workbookViewId="0">
      <selection activeCell="B25" sqref="B25"/>
    </sheetView>
  </sheetViews>
  <sheetFormatPr baseColWidth="10" defaultRowHeight="16"/>
  <cols>
    <col min="2" max="2" width="74.1640625" customWidth="1"/>
  </cols>
  <sheetData>
    <row r="4" spans="2:5" ht="23">
      <c r="B4" s="191" t="s">
        <v>306</v>
      </c>
    </row>
    <row r="5" spans="2:5" ht="18">
      <c r="B5" s="192" t="s">
        <v>164</v>
      </c>
      <c r="C5" s="192" t="s">
        <v>307</v>
      </c>
      <c r="D5" s="192" t="s">
        <v>308</v>
      </c>
      <c r="E5" s="192" t="s">
        <v>309</v>
      </c>
    </row>
    <row r="6" spans="2:5" ht="18">
      <c r="B6" s="193" t="s">
        <v>310</v>
      </c>
      <c r="C6" s="194">
        <v>96.35</v>
      </c>
      <c r="D6" s="194">
        <v>33</v>
      </c>
      <c r="E6" s="194">
        <v>129.35</v>
      </c>
    </row>
    <row r="7" spans="2:5" ht="18">
      <c r="B7" s="193" t="s">
        <v>311</v>
      </c>
      <c r="C7" s="194">
        <v>179.5</v>
      </c>
      <c r="D7" s="194">
        <v>33</v>
      </c>
      <c r="E7" s="194">
        <v>212.5</v>
      </c>
    </row>
    <row r="8" spans="2:5" ht="18">
      <c r="B8" s="193" t="s">
        <v>312</v>
      </c>
      <c r="C8" s="194">
        <v>700.22</v>
      </c>
      <c r="D8" s="194">
        <v>33</v>
      </c>
      <c r="E8" s="194">
        <v>733.22</v>
      </c>
    </row>
    <row r="9" spans="2:5" ht="18">
      <c r="B9" s="193" t="s">
        <v>313</v>
      </c>
      <c r="C9" s="194">
        <v>356.1</v>
      </c>
      <c r="D9" s="194">
        <v>33</v>
      </c>
      <c r="E9" s="194">
        <v>389.1</v>
      </c>
    </row>
    <row r="11" spans="2:5">
      <c r="C11" s="13">
        <f>SUM(C6:C10)</f>
        <v>1332.17</v>
      </c>
      <c r="E11" s="13">
        <f>SUM(E6:E10)</f>
        <v>1464.17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3D30E-9174-2943-A3ED-230D0C6CB925}">
  <dimension ref="A2:I21"/>
  <sheetViews>
    <sheetView topLeftCell="A15" zoomScale="184" zoomScaleNormal="184" workbookViewId="0">
      <selection activeCell="B5" sqref="B5"/>
    </sheetView>
  </sheetViews>
  <sheetFormatPr baseColWidth="10" defaultRowHeight="16"/>
  <sheetData>
    <row r="2" spans="1:9">
      <c r="B2" t="s">
        <v>65</v>
      </c>
    </row>
    <row r="3" spans="1:9">
      <c r="A3">
        <v>1</v>
      </c>
      <c r="B3" t="s">
        <v>98</v>
      </c>
    </row>
    <row r="4" spans="1:9">
      <c r="A4">
        <v>2</v>
      </c>
      <c r="B4" t="s">
        <v>66</v>
      </c>
    </row>
    <row r="5" spans="1:9">
      <c r="B5" t="s">
        <v>68</v>
      </c>
    </row>
    <row r="6" spans="1:9">
      <c r="B6" t="s">
        <v>69</v>
      </c>
    </row>
    <row r="7" spans="1:9">
      <c r="B7" t="s">
        <v>70</v>
      </c>
    </row>
    <row r="8" spans="1:9">
      <c r="B8" t="s">
        <v>71</v>
      </c>
    </row>
    <row r="9" spans="1:9">
      <c r="A9">
        <v>3</v>
      </c>
      <c r="B9" s="30" t="s">
        <v>72</v>
      </c>
    </row>
    <row r="10" spans="1:9" ht="31" customHeight="1">
      <c r="B10" s="111" t="s">
        <v>73</v>
      </c>
      <c r="C10" s="111"/>
      <c r="D10" s="111"/>
      <c r="E10" s="111"/>
      <c r="F10" s="111"/>
      <c r="G10" s="111"/>
      <c r="H10" s="111"/>
      <c r="I10" s="111"/>
    </row>
    <row r="11" spans="1:9">
      <c r="B11" s="30"/>
    </row>
    <row r="12" spans="1:9">
      <c r="A12">
        <v>4</v>
      </c>
      <c r="B12" t="s">
        <v>99</v>
      </c>
    </row>
    <row r="14" spans="1:9">
      <c r="A14">
        <v>5</v>
      </c>
      <c r="B14" t="s">
        <v>100</v>
      </c>
    </row>
    <row r="15" spans="1:9" ht="31" customHeight="1">
      <c r="B15" s="111" t="s">
        <v>74</v>
      </c>
      <c r="C15" s="111"/>
      <c r="D15" s="111"/>
      <c r="E15" s="111"/>
      <c r="F15" s="111"/>
      <c r="G15" s="111"/>
      <c r="H15" s="111"/>
      <c r="I15" s="111"/>
    </row>
    <row r="17" spans="1:9">
      <c r="A17">
        <v>6</v>
      </c>
      <c r="B17" s="111" t="s">
        <v>75</v>
      </c>
      <c r="C17" s="111"/>
      <c r="D17" s="111"/>
      <c r="E17" s="111"/>
      <c r="F17" s="111"/>
      <c r="G17" s="111"/>
      <c r="H17" s="111"/>
      <c r="I17" s="111"/>
    </row>
    <row r="18" spans="1:9" ht="32" customHeight="1">
      <c r="B18" s="111" t="s">
        <v>76</v>
      </c>
      <c r="C18" s="111"/>
      <c r="D18" s="111"/>
      <c r="E18" s="111"/>
      <c r="F18" s="111"/>
      <c r="G18" s="111"/>
      <c r="H18" s="111"/>
      <c r="I18" s="111"/>
    </row>
    <row r="20" spans="1:9">
      <c r="A20">
        <v>7</v>
      </c>
      <c r="B20" s="111" t="s">
        <v>77</v>
      </c>
      <c r="C20" s="111"/>
      <c r="D20" s="111"/>
      <c r="E20" s="111"/>
      <c r="F20" s="111"/>
      <c r="G20" s="111"/>
      <c r="H20" s="111"/>
      <c r="I20" s="111"/>
    </row>
    <row r="21" spans="1:9" ht="48" customHeight="1">
      <c r="B21" s="111" t="s">
        <v>185</v>
      </c>
      <c r="C21" s="111"/>
      <c r="D21" s="111"/>
      <c r="E21" s="111"/>
      <c r="F21" s="111"/>
      <c r="G21" s="111"/>
      <c r="H21" s="111"/>
      <c r="I21" s="111"/>
    </row>
  </sheetData>
  <mergeCells count="6">
    <mergeCell ref="B21:I21"/>
    <mergeCell ref="B10:I10"/>
    <mergeCell ref="B15:I15"/>
    <mergeCell ref="B17:I17"/>
    <mergeCell ref="B18:I18"/>
    <mergeCell ref="B20:I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4C396-1E24-2949-8003-DAA20C044770}">
  <dimension ref="B1:K122"/>
  <sheetViews>
    <sheetView topLeftCell="A77" workbookViewId="0">
      <selection activeCell="G50" sqref="G50"/>
    </sheetView>
  </sheetViews>
  <sheetFormatPr baseColWidth="10" defaultRowHeight="16"/>
  <cols>
    <col min="2" max="2" width="14.1640625" customWidth="1"/>
    <col min="3" max="3" width="15.83203125" customWidth="1"/>
    <col min="4" max="4" width="37.6640625" customWidth="1"/>
    <col min="5" max="5" width="17.83203125" customWidth="1"/>
    <col min="7" max="7" width="11.5" bestFit="1" customWidth="1"/>
  </cols>
  <sheetData>
    <row r="1" spans="2:7">
      <c r="B1" s="48" t="s">
        <v>179</v>
      </c>
      <c r="G1" s="48" t="s">
        <v>155</v>
      </c>
    </row>
    <row r="2" spans="2:7">
      <c r="B2" s="52">
        <v>44917</v>
      </c>
      <c r="C2" s="53" t="s">
        <v>109</v>
      </c>
      <c r="D2" s="53" t="s">
        <v>110</v>
      </c>
      <c r="E2" s="54">
        <v>-724.13</v>
      </c>
      <c r="F2" s="31"/>
      <c r="G2" s="31"/>
    </row>
    <row r="3" spans="2:7">
      <c r="B3" s="107">
        <v>44917</v>
      </c>
      <c r="C3" s="108" t="s">
        <v>111</v>
      </c>
      <c r="D3" s="53" t="s">
        <v>112</v>
      </c>
      <c r="E3" s="110">
        <v>724.13</v>
      </c>
      <c r="F3" s="31"/>
      <c r="G3" s="31"/>
    </row>
    <row r="4" spans="2:7">
      <c r="B4" s="107"/>
      <c r="C4" s="108"/>
      <c r="D4" s="53" t="s">
        <v>113</v>
      </c>
      <c r="E4" s="110"/>
      <c r="F4" s="31"/>
      <c r="G4" s="31"/>
    </row>
    <row r="5" spans="2:7">
      <c r="B5" s="52">
        <v>44902</v>
      </c>
      <c r="C5" s="53" t="s">
        <v>114</v>
      </c>
      <c r="D5" s="53" t="s">
        <v>115</v>
      </c>
      <c r="E5" s="54">
        <v>-20</v>
      </c>
      <c r="F5" s="31"/>
      <c r="G5" s="55">
        <f>E5*-1</f>
        <v>20</v>
      </c>
    </row>
    <row r="6" spans="2:7">
      <c r="B6" s="107">
        <v>44902</v>
      </c>
      <c r="C6" s="108" t="s">
        <v>111</v>
      </c>
      <c r="D6" s="53" t="s">
        <v>116</v>
      </c>
      <c r="E6" s="110">
        <v>20</v>
      </c>
      <c r="F6" s="31"/>
      <c r="G6" s="31"/>
    </row>
    <row r="7" spans="2:7">
      <c r="B7" s="107"/>
      <c r="C7" s="108"/>
      <c r="D7" s="53" t="s">
        <v>117</v>
      </c>
      <c r="E7" s="110"/>
      <c r="F7" s="31"/>
      <c r="G7" s="56"/>
    </row>
    <row r="8" spans="2:7">
      <c r="B8" s="107">
        <v>44879</v>
      </c>
      <c r="C8" s="108" t="s">
        <v>111</v>
      </c>
      <c r="D8" s="53" t="s">
        <v>118</v>
      </c>
      <c r="E8" s="109">
        <v>0</v>
      </c>
      <c r="F8" s="31"/>
      <c r="G8" s="31"/>
    </row>
    <row r="9" spans="2:7">
      <c r="B9" s="107"/>
      <c r="C9" s="108"/>
      <c r="D9" s="53" t="s">
        <v>117</v>
      </c>
      <c r="E9" s="109"/>
      <c r="F9" s="31"/>
      <c r="G9" s="31"/>
    </row>
    <row r="10" spans="2:7">
      <c r="B10" s="107">
        <v>44876</v>
      </c>
      <c r="C10" s="108" t="s">
        <v>111</v>
      </c>
      <c r="D10" s="53" t="s">
        <v>119</v>
      </c>
      <c r="E10" s="109">
        <v>0</v>
      </c>
      <c r="F10" s="31"/>
      <c r="G10" s="31"/>
    </row>
    <row r="11" spans="2:7">
      <c r="B11" s="107"/>
      <c r="C11" s="108"/>
      <c r="D11" s="53" t="s">
        <v>117</v>
      </c>
      <c r="E11" s="109"/>
      <c r="F11" s="31"/>
      <c r="G11" s="31"/>
    </row>
    <row r="12" spans="2:7">
      <c r="B12" s="52">
        <v>44869</v>
      </c>
      <c r="C12" s="53" t="s">
        <v>114</v>
      </c>
      <c r="D12" s="53" t="s">
        <v>115</v>
      </c>
      <c r="E12" s="54">
        <v>-120</v>
      </c>
      <c r="F12" s="31"/>
      <c r="G12" s="56">
        <f>E12*-1</f>
        <v>120</v>
      </c>
    </row>
    <row r="13" spans="2:7">
      <c r="B13" s="52">
        <v>44865</v>
      </c>
      <c r="C13" s="53" t="s">
        <v>109</v>
      </c>
      <c r="D13" s="53" t="s">
        <v>110</v>
      </c>
      <c r="E13" s="54">
        <v>-724.13</v>
      </c>
      <c r="F13" s="31"/>
      <c r="G13" s="31"/>
    </row>
    <row r="14" spans="2:7">
      <c r="B14" s="107">
        <v>44865</v>
      </c>
      <c r="C14" s="108" t="s">
        <v>111</v>
      </c>
      <c r="D14" s="53" t="s">
        <v>112</v>
      </c>
      <c r="E14" s="110">
        <v>724.13</v>
      </c>
      <c r="F14" s="31"/>
      <c r="G14" s="31"/>
    </row>
    <row r="15" spans="2:7">
      <c r="B15" s="107"/>
      <c r="C15" s="108"/>
      <c r="D15" s="53" t="s">
        <v>113</v>
      </c>
      <c r="E15" s="110"/>
      <c r="F15" s="31"/>
      <c r="G15" s="31"/>
    </row>
    <row r="16" spans="2:7">
      <c r="B16" s="107">
        <v>44847</v>
      </c>
      <c r="C16" s="108" t="s">
        <v>111</v>
      </c>
      <c r="D16" s="53" t="s">
        <v>120</v>
      </c>
      <c r="E16" s="110">
        <v>120</v>
      </c>
      <c r="F16" s="31"/>
      <c r="G16" s="31"/>
    </row>
    <row r="17" spans="2:7">
      <c r="B17" s="107"/>
      <c r="C17" s="108"/>
      <c r="D17" s="53" t="s">
        <v>117</v>
      </c>
      <c r="E17" s="110"/>
      <c r="F17" s="31"/>
      <c r="G17" s="56"/>
    </row>
    <row r="18" spans="2:7">
      <c r="B18" s="107">
        <v>44845</v>
      </c>
      <c r="C18" s="108" t="s">
        <v>111</v>
      </c>
      <c r="D18" s="53" t="s">
        <v>121</v>
      </c>
      <c r="E18" s="109">
        <v>0</v>
      </c>
      <c r="F18" s="31"/>
      <c r="G18" s="31"/>
    </row>
    <row r="19" spans="2:7">
      <c r="B19" s="107"/>
      <c r="C19" s="108"/>
      <c r="D19" s="53" t="s">
        <v>117</v>
      </c>
      <c r="E19" s="109"/>
      <c r="F19" s="31"/>
      <c r="G19" s="31"/>
    </row>
    <row r="20" spans="2:7">
      <c r="B20" s="107">
        <v>44845</v>
      </c>
      <c r="C20" s="108" t="s">
        <v>111</v>
      </c>
      <c r="D20" s="53" t="s">
        <v>122</v>
      </c>
      <c r="E20" s="109">
        <v>0</v>
      </c>
      <c r="F20" s="31"/>
      <c r="G20" s="31"/>
    </row>
    <row r="21" spans="2:7">
      <c r="B21" s="107"/>
      <c r="C21" s="108"/>
      <c r="D21" s="53" t="s">
        <v>117</v>
      </c>
      <c r="E21" s="109"/>
      <c r="F21" s="31"/>
      <c r="G21" s="31"/>
    </row>
    <row r="22" spans="2:7">
      <c r="B22" s="31"/>
      <c r="C22" s="108" t="s">
        <v>111</v>
      </c>
      <c r="D22" s="53" t="s">
        <v>112</v>
      </c>
      <c r="E22" s="54">
        <v>724.13</v>
      </c>
      <c r="F22" s="31"/>
      <c r="G22" s="31"/>
    </row>
    <row r="23" spans="2:7">
      <c r="B23" s="31"/>
      <c r="C23" s="108"/>
      <c r="D23" s="53" t="s">
        <v>113</v>
      </c>
      <c r="E23" s="54"/>
      <c r="F23" s="31"/>
      <c r="G23" s="31"/>
    </row>
    <row r="24" spans="2:7">
      <c r="B24" s="52">
        <v>44840</v>
      </c>
      <c r="C24" s="53" t="s">
        <v>109</v>
      </c>
      <c r="D24" s="53" t="s">
        <v>110</v>
      </c>
      <c r="E24" s="54">
        <v>-724.13</v>
      </c>
      <c r="F24" s="31"/>
      <c r="G24" s="31"/>
    </row>
    <row r="25" spans="2:7">
      <c r="B25" s="107">
        <v>44837</v>
      </c>
      <c r="C25" s="108" t="s">
        <v>111</v>
      </c>
      <c r="D25" s="53" t="s">
        <v>123</v>
      </c>
      <c r="E25" s="109">
        <v>0</v>
      </c>
      <c r="F25" s="31"/>
      <c r="G25" s="31"/>
    </row>
    <row r="26" spans="2:7">
      <c r="B26" s="107"/>
      <c r="C26" s="108"/>
      <c r="D26" s="53" t="s">
        <v>117</v>
      </c>
      <c r="E26" s="109"/>
      <c r="F26" s="31"/>
      <c r="G26" s="31"/>
    </row>
    <row r="27" spans="2:7">
      <c r="B27" s="107">
        <v>44834</v>
      </c>
      <c r="C27" s="108" t="s">
        <v>111</v>
      </c>
      <c r="D27" s="53" t="s">
        <v>124</v>
      </c>
      <c r="E27" s="109">
        <v>0</v>
      </c>
      <c r="F27" s="31"/>
      <c r="G27" s="31"/>
    </row>
    <row r="28" spans="2:7">
      <c r="B28" s="107"/>
      <c r="C28" s="108"/>
      <c r="D28" s="53" t="s">
        <v>117</v>
      </c>
      <c r="E28" s="109"/>
      <c r="F28" s="31"/>
      <c r="G28" s="31"/>
    </row>
    <row r="29" spans="2:7">
      <c r="B29" s="107">
        <v>44834</v>
      </c>
      <c r="C29" s="108" t="s">
        <v>111</v>
      </c>
      <c r="D29" s="53" t="s">
        <v>125</v>
      </c>
      <c r="E29" s="109">
        <v>0</v>
      </c>
      <c r="F29" s="31"/>
      <c r="G29" s="31"/>
    </row>
    <row r="30" spans="2:7">
      <c r="B30" s="107"/>
      <c r="C30" s="108"/>
      <c r="D30" s="53" t="s">
        <v>117</v>
      </c>
      <c r="E30" s="109"/>
      <c r="F30" s="31"/>
      <c r="G30" s="31"/>
    </row>
    <row r="31" spans="2:7">
      <c r="B31" s="52">
        <v>44830</v>
      </c>
      <c r="C31" s="53" t="s">
        <v>114</v>
      </c>
      <c r="D31" s="53" t="s">
        <v>115</v>
      </c>
      <c r="E31" s="54">
        <v>-20</v>
      </c>
      <c r="F31" s="31"/>
      <c r="G31" s="56">
        <f>E31*-1</f>
        <v>20</v>
      </c>
    </row>
    <row r="32" spans="2:7">
      <c r="B32" s="107">
        <v>44826</v>
      </c>
      <c r="C32" s="108" t="s">
        <v>111</v>
      </c>
      <c r="D32" s="53" t="s">
        <v>126</v>
      </c>
      <c r="E32" s="110">
        <v>20</v>
      </c>
      <c r="F32" s="31"/>
      <c r="G32" s="31"/>
    </row>
    <row r="33" spans="2:7">
      <c r="B33" s="107"/>
      <c r="C33" s="108"/>
      <c r="D33" s="53" t="s">
        <v>117</v>
      </c>
      <c r="E33" s="110"/>
      <c r="F33" s="31"/>
      <c r="G33" s="31"/>
    </row>
    <row r="34" spans="2:7">
      <c r="B34" s="52">
        <v>44810</v>
      </c>
      <c r="C34" s="53" t="s">
        <v>109</v>
      </c>
      <c r="D34" s="53" t="s">
        <v>110</v>
      </c>
      <c r="E34" s="54">
        <v>-724.13</v>
      </c>
      <c r="F34" s="31"/>
      <c r="G34" s="31"/>
    </row>
    <row r="35" spans="2:7">
      <c r="B35" s="107">
        <v>44810</v>
      </c>
      <c r="C35" s="108" t="s">
        <v>111</v>
      </c>
      <c r="D35" s="53" t="s">
        <v>112</v>
      </c>
      <c r="E35" s="110">
        <v>724.13</v>
      </c>
      <c r="F35" s="31"/>
      <c r="G35" s="31"/>
    </row>
    <row r="36" spans="2:7">
      <c r="B36" s="107"/>
      <c r="C36" s="108"/>
      <c r="D36" s="53" t="s">
        <v>113</v>
      </c>
      <c r="E36" s="110"/>
      <c r="F36" s="31"/>
      <c r="G36" s="31"/>
    </row>
    <row r="37" spans="2:7">
      <c r="B37" s="107">
        <v>44781</v>
      </c>
      <c r="C37" s="108" t="s">
        <v>111</v>
      </c>
      <c r="D37" s="53" t="s">
        <v>112</v>
      </c>
      <c r="E37" s="110">
        <v>724.13</v>
      </c>
      <c r="F37" s="31"/>
      <c r="G37" s="31"/>
    </row>
    <row r="38" spans="2:7">
      <c r="B38" s="107"/>
      <c r="C38" s="108"/>
      <c r="D38" s="53" t="s">
        <v>113</v>
      </c>
      <c r="E38" s="110"/>
      <c r="F38" s="31"/>
      <c r="G38" s="31"/>
    </row>
    <row r="39" spans="2:7">
      <c r="B39" s="52">
        <v>44781</v>
      </c>
      <c r="C39" s="53" t="s">
        <v>109</v>
      </c>
      <c r="D39" s="53" t="s">
        <v>110</v>
      </c>
      <c r="E39" s="54">
        <v>-724.13</v>
      </c>
      <c r="F39" s="31"/>
      <c r="G39" s="31"/>
    </row>
    <row r="40" spans="2:7">
      <c r="B40" s="107">
        <v>44778</v>
      </c>
      <c r="C40" s="108" t="s">
        <v>111</v>
      </c>
      <c r="D40" s="53" t="s">
        <v>127</v>
      </c>
      <c r="E40" s="109">
        <v>0</v>
      </c>
      <c r="F40" s="31"/>
      <c r="G40" s="31"/>
    </row>
    <row r="41" spans="2:7">
      <c r="B41" s="107"/>
      <c r="C41" s="108"/>
      <c r="D41" s="53" t="s">
        <v>117</v>
      </c>
      <c r="E41" s="109"/>
      <c r="F41" s="31"/>
      <c r="G41" s="31"/>
    </row>
    <row r="42" spans="2:7">
      <c r="B42" s="107">
        <v>44775</v>
      </c>
      <c r="C42" s="108" t="s">
        <v>111</v>
      </c>
      <c r="D42" s="53" t="s">
        <v>128</v>
      </c>
      <c r="E42" s="109">
        <v>0</v>
      </c>
      <c r="F42" s="31"/>
      <c r="G42" s="31"/>
    </row>
    <row r="43" spans="2:7">
      <c r="B43" s="107"/>
      <c r="C43" s="108"/>
      <c r="D43" s="53" t="s">
        <v>117</v>
      </c>
      <c r="E43" s="109"/>
      <c r="F43" s="31"/>
      <c r="G43" s="31"/>
    </row>
    <row r="44" spans="2:7">
      <c r="B44" s="107">
        <v>44775</v>
      </c>
      <c r="C44" s="108" t="s">
        <v>111</v>
      </c>
      <c r="D44" s="53" t="s">
        <v>129</v>
      </c>
      <c r="E44" s="109">
        <v>0</v>
      </c>
      <c r="F44" s="31"/>
      <c r="G44" s="31"/>
    </row>
    <row r="45" spans="2:7">
      <c r="B45" s="107"/>
      <c r="C45" s="108"/>
      <c r="D45" s="53" t="s">
        <v>117</v>
      </c>
      <c r="E45" s="109"/>
      <c r="F45" s="31"/>
      <c r="G45" s="31"/>
    </row>
    <row r="46" spans="2:7">
      <c r="B46" s="107">
        <v>44673</v>
      </c>
      <c r="C46" s="108" t="s">
        <v>111</v>
      </c>
      <c r="D46" s="53" t="s">
        <v>130</v>
      </c>
      <c r="E46" s="109">
        <v>0</v>
      </c>
      <c r="F46" s="31"/>
      <c r="G46" s="31"/>
    </row>
    <row r="47" spans="2:7">
      <c r="B47" s="107"/>
      <c r="C47" s="108"/>
      <c r="D47" s="53" t="s">
        <v>117</v>
      </c>
      <c r="E47" s="109"/>
      <c r="F47" s="31"/>
      <c r="G47" s="31"/>
    </row>
    <row r="48" spans="2:7">
      <c r="B48" s="107">
        <v>44673</v>
      </c>
      <c r="C48" s="108" t="s">
        <v>111</v>
      </c>
      <c r="D48" s="53" t="s">
        <v>131</v>
      </c>
      <c r="E48" s="109">
        <v>0</v>
      </c>
      <c r="F48" s="31"/>
      <c r="G48" s="31"/>
    </row>
    <row r="49" spans="2:9">
      <c r="B49" s="107"/>
      <c r="C49" s="108"/>
      <c r="D49" s="53" t="s">
        <v>117</v>
      </c>
      <c r="E49" s="109"/>
      <c r="F49" s="31"/>
      <c r="G49" s="31"/>
    </row>
    <row r="50" spans="2:9">
      <c r="B50" t="s">
        <v>181</v>
      </c>
      <c r="G50" s="56">
        <f>J89</f>
        <v>33.979999999999997</v>
      </c>
    </row>
    <row r="51" spans="2:9" ht="21">
      <c r="B51" s="47" t="s">
        <v>132</v>
      </c>
      <c r="G51" s="47">
        <f>SUM(F2:G50)</f>
        <v>193.98</v>
      </c>
    </row>
    <row r="52" spans="2:9">
      <c r="G52" s="13"/>
    </row>
    <row r="53" spans="2:9">
      <c r="B53" t="s">
        <v>178</v>
      </c>
    </row>
    <row r="54" spans="2:9">
      <c r="B54" t="s">
        <v>147</v>
      </c>
      <c r="C54" t="s">
        <v>148</v>
      </c>
      <c r="D54" t="s">
        <v>149</v>
      </c>
      <c r="E54" t="s">
        <v>150</v>
      </c>
      <c r="F54" t="s">
        <v>151</v>
      </c>
      <c r="G54" t="s">
        <v>152</v>
      </c>
      <c r="H54" t="s">
        <v>153</v>
      </c>
      <c r="I54" t="s">
        <v>154</v>
      </c>
    </row>
    <row r="55" spans="2:9">
      <c r="B55" s="29" t="s">
        <v>133</v>
      </c>
      <c r="C55" s="49">
        <v>44907</v>
      </c>
      <c r="D55" s="29" t="s">
        <v>134</v>
      </c>
      <c r="E55" s="29" t="s">
        <v>135</v>
      </c>
      <c r="F55" s="29"/>
      <c r="G55" s="29">
        <v>140</v>
      </c>
      <c r="H55" s="29">
        <v>92.22</v>
      </c>
      <c r="I55" s="29">
        <v>40</v>
      </c>
    </row>
    <row r="56" spans="2:9">
      <c r="B56" s="29" t="s">
        <v>133</v>
      </c>
      <c r="C56" s="49">
        <v>44872</v>
      </c>
      <c r="D56" s="29" t="s">
        <v>134</v>
      </c>
      <c r="E56" s="29" t="s">
        <v>136</v>
      </c>
      <c r="F56" s="29"/>
      <c r="G56" s="29">
        <v>278</v>
      </c>
      <c r="H56" s="29">
        <v>125.24</v>
      </c>
      <c r="I56" s="29">
        <v>40</v>
      </c>
    </row>
    <row r="57" spans="2:9">
      <c r="B57" s="29" t="s">
        <v>133</v>
      </c>
      <c r="C57" s="49">
        <v>44869</v>
      </c>
      <c r="D57" s="29" t="s">
        <v>134</v>
      </c>
      <c r="E57" s="29" t="s">
        <v>137</v>
      </c>
      <c r="F57" s="29"/>
      <c r="G57" s="29">
        <v>49</v>
      </c>
      <c r="H57" s="29">
        <v>29</v>
      </c>
      <c r="I57" s="29">
        <v>20</v>
      </c>
    </row>
    <row r="58" spans="2:9">
      <c r="B58" s="29" t="s">
        <v>133</v>
      </c>
      <c r="C58" s="49">
        <v>44854</v>
      </c>
      <c r="D58" s="29" t="s">
        <v>134</v>
      </c>
      <c r="E58" s="29" t="s">
        <v>135</v>
      </c>
      <c r="F58" s="29"/>
      <c r="G58" s="29">
        <v>185</v>
      </c>
      <c r="H58" s="29">
        <v>0</v>
      </c>
      <c r="I58" s="29">
        <v>24.5</v>
      </c>
    </row>
    <row r="59" spans="2:9">
      <c r="B59" s="29" t="s">
        <v>133</v>
      </c>
      <c r="C59" s="49">
        <v>44853</v>
      </c>
      <c r="D59" s="29" t="s">
        <v>134</v>
      </c>
      <c r="E59" s="29" t="s">
        <v>138</v>
      </c>
      <c r="F59" s="29"/>
      <c r="G59" s="29">
        <v>329.7</v>
      </c>
      <c r="H59" s="29">
        <v>57.59</v>
      </c>
      <c r="I59" s="29">
        <v>0</v>
      </c>
    </row>
    <row r="60" spans="2:9">
      <c r="B60" s="29" t="s">
        <v>133</v>
      </c>
      <c r="C60" s="49">
        <v>44839</v>
      </c>
      <c r="D60" s="29" t="s">
        <v>134</v>
      </c>
      <c r="E60" s="29" t="s">
        <v>137</v>
      </c>
      <c r="F60" s="29"/>
      <c r="G60" s="29">
        <v>49</v>
      </c>
      <c r="H60" s="29">
        <v>29</v>
      </c>
      <c r="I60" s="29">
        <v>20</v>
      </c>
    </row>
    <row r="61" spans="2:9">
      <c r="B61" s="29" t="s">
        <v>133</v>
      </c>
      <c r="C61" s="49">
        <v>44820</v>
      </c>
      <c r="D61" s="29" t="s">
        <v>134</v>
      </c>
      <c r="E61" s="29" t="s">
        <v>139</v>
      </c>
      <c r="F61" s="29"/>
      <c r="G61" s="29">
        <v>402</v>
      </c>
      <c r="H61" s="29">
        <v>155.78</v>
      </c>
      <c r="I61" s="29">
        <v>20</v>
      </c>
    </row>
    <row r="62" spans="2:9">
      <c r="B62" s="29" t="s">
        <v>133</v>
      </c>
      <c r="C62" s="49">
        <v>44811</v>
      </c>
      <c r="D62" s="29" t="s">
        <v>134</v>
      </c>
      <c r="E62" s="29" t="s">
        <v>140</v>
      </c>
      <c r="F62" s="29"/>
      <c r="G62" s="29">
        <v>190</v>
      </c>
      <c r="H62" s="29">
        <v>69</v>
      </c>
      <c r="I62" s="29">
        <v>45</v>
      </c>
    </row>
    <row r="63" spans="2:9">
      <c r="B63" s="29" t="s">
        <v>133</v>
      </c>
      <c r="C63" s="49">
        <v>44784</v>
      </c>
      <c r="D63" s="29" t="s">
        <v>134</v>
      </c>
      <c r="E63" s="29" t="s">
        <v>135</v>
      </c>
      <c r="F63" s="29"/>
      <c r="G63" s="29">
        <v>185</v>
      </c>
      <c r="H63" s="29">
        <v>0</v>
      </c>
      <c r="I63" s="29">
        <v>24.5</v>
      </c>
    </row>
    <row r="64" spans="2:9">
      <c r="B64" s="29" t="s">
        <v>133</v>
      </c>
      <c r="C64" s="49">
        <v>44761</v>
      </c>
      <c r="D64" s="29" t="s">
        <v>134</v>
      </c>
      <c r="E64" s="29" t="s">
        <v>141</v>
      </c>
      <c r="F64" s="29"/>
      <c r="G64" s="29">
        <v>1042.45</v>
      </c>
      <c r="H64" s="29">
        <v>92.69</v>
      </c>
      <c r="I64" s="29">
        <v>0</v>
      </c>
    </row>
    <row r="65" spans="2:10">
      <c r="B65" s="29" t="s">
        <v>133</v>
      </c>
      <c r="C65" s="49">
        <v>44760</v>
      </c>
      <c r="D65" s="29" t="s">
        <v>134</v>
      </c>
      <c r="E65" s="29" t="s">
        <v>135</v>
      </c>
      <c r="F65" s="29"/>
      <c r="G65" s="29">
        <v>320</v>
      </c>
      <c r="H65" s="29">
        <v>186.28</v>
      </c>
      <c r="I65" s="29">
        <v>40</v>
      </c>
    </row>
    <row r="66" spans="2:10">
      <c r="B66" s="29" t="s">
        <v>133</v>
      </c>
      <c r="C66" s="49">
        <v>44756</v>
      </c>
      <c r="D66" s="29" t="s">
        <v>134</v>
      </c>
      <c r="E66" s="29" t="s">
        <v>142</v>
      </c>
      <c r="F66" s="29"/>
      <c r="G66" s="29">
        <v>304</v>
      </c>
      <c r="H66" s="29">
        <v>165.04</v>
      </c>
      <c r="I66" s="29">
        <v>20</v>
      </c>
    </row>
    <row r="67" spans="2:10">
      <c r="B67" s="29" t="s">
        <v>133</v>
      </c>
      <c r="C67" s="49">
        <v>44750</v>
      </c>
      <c r="D67" s="29" t="s">
        <v>134</v>
      </c>
      <c r="E67" s="29" t="s">
        <v>143</v>
      </c>
      <c r="F67" s="29"/>
      <c r="G67" s="29">
        <v>184</v>
      </c>
      <c r="H67" s="29">
        <v>120.29</v>
      </c>
      <c r="I67" s="29">
        <v>40</v>
      </c>
    </row>
    <row r="68" spans="2:10">
      <c r="B68" s="29" t="s">
        <v>133</v>
      </c>
      <c r="C68" s="49">
        <v>44736</v>
      </c>
      <c r="D68" s="29" t="s">
        <v>134</v>
      </c>
      <c r="E68" s="29" t="s">
        <v>143</v>
      </c>
      <c r="F68" s="29"/>
      <c r="G68" s="29">
        <v>186</v>
      </c>
      <c r="H68" s="29">
        <v>122.41</v>
      </c>
      <c r="I68" s="29">
        <v>40</v>
      </c>
    </row>
    <row r="69" spans="2:10">
      <c r="B69" s="29" t="s">
        <v>133</v>
      </c>
      <c r="C69" s="49">
        <v>44659</v>
      </c>
      <c r="D69" s="29" t="s">
        <v>134</v>
      </c>
      <c r="E69" s="29" t="s">
        <v>144</v>
      </c>
      <c r="F69" s="29"/>
      <c r="G69" s="29">
        <v>27.22</v>
      </c>
      <c r="H69" s="29">
        <v>27.22</v>
      </c>
      <c r="I69" s="29">
        <v>0</v>
      </c>
    </row>
    <row r="70" spans="2:10">
      <c r="B70" s="29" t="s">
        <v>133</v>
      </c>
      <c r="C70" s="49">
        <v>44659</v>
      </c>
      <c r="D70" s="29" t="s">
        <v>145</v>
      </c>
      <c r="E70" s="29" t="s">
        <v>144</v>
      </c>
      <c r="F70" s="29"/>
      <c r="G70" s="29">
        <v>27.22</v>
      </c>
      <c r="H70" s="29">
        <v>27.22</v>
      </c>
      <c r="I70" s="29">
        <v>0</v>
      </c>
    </row>
    <row r="71" spans="2:10">
      <c r="B71" s="29" t="s">
        <v>133</v>
      </c>
      <c r="C71" s="49">
        <v>44574</v>
      </c>
      <c r="D71" s="29" t="s">
        <v>134</v>
      </c>
      <c r="E71" s="29" t="s">
        <v>139</v>
      </c>
      <c r="F71" s="29"/>
      <c r="G71" s="29">
        <v>840</v>
      </c>
      <c r="H71" s="29">
        <v>513.19000000000005</v>
      </c>
      <c r="I71" s="29">
        <v>0</v>
      </c>
    </row>
    <row r="72" spans="2:10">
      <c r="B72" s="29" t="s">
        <v>133</v>
      </c>
      <c r="C72" s="49">
        <v>44566</v>
      </c>
      <c r="D72" s="29" t="s">
        <v>134</v>
      </c>
      <c r="E72" s="29" t="s">
        <v>139</v>
      </c>
      <c r="F72" s="29"/>
      <c r="G72" s="29">
        <v>304</v>
      </c>
      <c r="H72" s="29">
        <v>158.58000000000001</v>
      </c>
      <c r="I72" s="29">
        <v>20</v>
      </c>
    </row>
    <row r="73" spans="2:10">
      <c r="B73" s="29" t="s">
        <v>182</v>
      </c>
      <c r="I73">
        <f>K81</f>
        <v>44.5</v>
      </c>
    </row>
    <row r="74" spans="2:10" ht="21">
      <c r="B74" s="47" t="s">
        <v>146</v>
      </c>
      <c r="I74" s="47">
        <f>SUM(I55:I73)</f>
        <v>438.5</v>
      </c>
    </row>
    <row r="75" spans="2:10">
      <c r="B75" s="29" t="s">
        <v>180</v>
      </c>
    </row>
    <row r="76" spans="2:10">
      <c r="B76" t="s">
        <v>161</v>
      </c>
      <c r="C76" t="s">
        <v>162</v>
      </c>
      <c r="D76" t="s">
        <v>163</v>
      </c>
      <c r="E76" t="s">
        <v>164</v>
      </c>
      <c r="F76" t="s">
        <v>165</v>
      </c>
      <c r="G76" t="s">
        <v>166</v>
      </c>
    </row>
    <row r="77" spans="2:10">
      <c r="B77" s="11">
        <v>44839</v>
      </c>
      <c r="C77" s="11">
        <v>44840</v>
      </c>
      <c r="D77">
        <v>8733</v>
      </c>
      <c r="E77" t="s">
        <v>158</v>
      </c>
      <c r="F77" t="s">
        <v>167</v>
      </c>
      <c r="G77">
        <v>20</v>
      </c>
      <c r="H77" t="s">
        <v>174</v>
      </c>
    </row>
    <row r="78" spans="2:10">
      <c r="B78" s="11">
        <v>44838</v>
      </c>
      <c r="C78" s="11">
        <v>44839</v>
      </c>
      <c r="D78">
        <v>8733</v>
      </c>
      <c r="E78" t="s">
        <v>168</v>
      </c>
      <c r="F78" t="s">
        <v>167</v>
      </c>
      <c r="G78">
        <v>25.49</v>
      </c>
      <c r="H78" t="s">
        <v>175</v>
      </c>
      <c r="J78">
        <f>G78</f>
        <v>25.49</v>
      </c>
    </row>
    <row r="79" spans="2:10">
      <c r="B79" s="11">
        <v>44838</v>
      </c>
      <c r="C79" s="11">
        <v>44839</v>
      </c>
      <c r="D79">
        <v>8733</v>
      </c>
      <c r="E79" t="s">
        <v>169</v>
      </c>
      <c r="F79" t="s">
        <v>167</v>
      </c>
      <c r="G79">
        <v>8.49</v>
      </c>
      <c r="H79" t="s">
        <v>175</v>
      </c>
      <c r="J79">
        <f>G79</f>
        <v>8.49</v>
      </c>
    </row>
    <row r="80" spans="2:10">
      <c r="B80" s="11">
        <v>44831</v>
      </c>
      <c r="C80" s="11">
        <v>44832</v>
      </c>
      <c r="D80">
        <v>8733</v>
      </c>
      <c r="E80" t="s">
        <v>170</v>
      </c>
      <c r="F80" t="s">
        <v>167</v>
      </c>
      <c r="G80">
        <v>20</v>
      </c>
      <c r="H80" t="s">
        <v>174</v>
      </c>
    </row>
    <row r="81" spans="2:11">
      <c r="B81" s="11">
        <v>44824</v>
      </c>
      <c r="C81" s="11">
        <v>44825</v>
      </c>
      <c r="D81">
        <v>3725</v>
      </c>
      <c r="E81" t="s">
        <v>159</v>
      </c>
      <c r="F81" t="s">
        <v>167</v>
      </c>
      <c r="G81">
        <v>44.5</v>
      </c>
      <c r="H81" t="s">
        <v>175</v>
      </c>
      <c r="K81" s="48">
        <f>G81</f>
        <v>44.5</v>
      </c>
    </row>
    <row r="82" spans="2:11">
      <c r="B82" s="11">
        <v>44820</v>
      </c>
      <c r="C82" s="11">
        <v>44821</v>
      </c>
      <c r="D82">
        <v>3725</v>
      </c>
      <c r="E82" t="s">
        <v>160</v>
      </c>
      <c r="F82" t="s">
        <v>167</v>
      </c>
      <c r="G82">
        <v>20</v>
      </c>
      <c r="H82" t="s">
        <v>174</v>
      </c>
    </row>
    <row r="83" spans="2:11">
      <c r="B83" s="11">
        <v>44811</v>
      </c>
      <c r="C83" s="11">
        <v>44813</v>
      </c>
      <c r="D83">
        <v>3725</v>
      </c>
      <c r="E83" t="s">
        <v>171</v>
      </c>
      <c r="F83" t="s">
        <v>167</v>
      </c>
      <c r="G83">
        <v>45</v>
      </c>
      <c r="H83" t="s">
        <v>174</v>
      </c>
    </row>
    <row r="84" spans="2:11">
      <c r="B84" s="11">
        <v>44760</v>
      </c>
      <c r="C84" s="11">
        <v>44761</v>
      </c>
      <c r="D84">
        <v>3725</v>
      </c>
      <c r="E84" t="s">
        <v>159</v>
      </c>
      <c r="F84" t="s">
        <v>167</v>
      </c>
      <c r="G84">
        <v>20</v>
      </c>
      <c r="H84" t="s">
        <v>174</v>
      </c>
    </row>
    <row r="85" spans="2:11">
      <c r="B85" s="11">
        <v>44756</v>
      </c>
      <c r="C85" s="11">
        <v>44757</v>
      </c>
      <c r="D85">
        <v>3725</v>
      </c>
      <c r="E85" t="s">
        <v>160</v>
      </c>
      <c r="F85" t="s">
        <v>167</v>
      </c>
      <c r="G85">
        <v>20</v>
      </c>
      <c r="H85" t="s">
        <v>174</v>
      </c>
    </row>
    <row r="86" spans="2:11">
      <c r="B86" s="11">
        <v>44750</v>
      </c>
      <c r="C86" s="11">
        <v>44751</v>
      </c>
      <c r="D86">
        <v>3725</v>
      </c>
      <c r="E86" t="s">
        <v>172</v>
      </c>
      <c r="F86" t="s">
        <v>167</v>
      </c>
      <c r="G86">
        <v>40</v>
      </c>
      <c r="H86" t="s">
        <v>174</v>
      </c>
    </row>
    <row r="87" spans="2:11">
      <c r="B87" s="11">
        <v>44736</v>
      </c>
      <c r="C87" s="11">
        <v>44737</v>
      </c>
      <c r="D87">
        <v>3725</v>
      </c>
      <c r="E87" t="s">
        <v>172</v>
      </c>
      <c r="F87" t="s">
        <v>167</v>
      </c>
      <c r="G87">
        <v>40</v>
      </c>
      <c r="H87" t="s">
        <v>174</v>
      </c>
    </row>
    <row r="89" spans="2:11">
      <c r="B89" t="s">
        <v>173</v>
      </c>
      <c r="G89">
        <f>SUM(G77:G88)</f>
        <v>303.48</v>
      </c>
      <c r="J89" s="48">
        <f>SUM(J78:J88)</f>
        <v>33.979999999999997</v>
      </c>
    </row>
    <row r="94" spans="2:11">
      <c r="B94" s="13"/>
    </row>
    <row r="101" spans="2:2">
      <c r="B101" s="13"/>
    </row>
    <row r="108" spans="2:2">
      <c r="B108" s="13"/>
    </row>
    <row r="115" spans="2:2">
      <c r="B115" s="13"/>
    </row>
    <row r="122" spans="2:2">
      <c r="B122" s="13"/>
    </row>
  </sheetData>
  <mergeCells count="58">
    <mergeCell ref="B3:B4"/>
    <mergeCell ref="C3:C4"/>
    <mergeCell ref="E3:E4"/>
    <mergeCell ref="B6:B7"/>
    <mergeCell ref="C6:C7"/>
    <mergeCell ref="E6:E7"/>
    <mergeCell ref="B8:B9"/>
    <mergeCell ref="C8:C9"/>
    <mergeCell ref="E8:E9"/>
    <mergeCell ref="B10:B11"/>
    <mergeCell ref="C10:C11"/>
    <mergeCell ref="E10:E11"/>
    <mergeCell ref="B14:B15"/>
    <mergeCell ref="C14:C15"/>
    <mergeCell ref="E14:E15"/>
    <mergeCell ref="B16:B17"/>
    <mergeCell ref="C16:C17"/>
    <mergeCell ref="E16:E17"/>
    <mergeCell ref="B18:B19"/>
    <mergeCell ref="C18:C19"/>
    <mergeCell ref="E18:E19"/>
    <mergeCell ref="B20:B21"/>
    <mergeCell ref="C20:C21"/>
    <mergeCell ref="E20:E21"/>
    <mergeCell ref="C22:C23"/>
    <mergeCell ref="B25:B26"/>
    <mergeCell ref="C25:C26"/>
    <mergeCell ref="E25:E26"/>
    <mergeCell ref="B27:B28"/>
    <mergeCell ref="C27:C28"/>
    <mergeCell ref="E27:E28"/>
    <mergeCell ref="B29:B30"/>
    <mergeCell ref="C29:C30"/>
    <mergeCell ref="E29:E30"/>
    <mergeCell ref="B32:B33"/>
    <mergeCell ref="C32:C33"/>
    <mergeCell ref="E32:E33"/>
    <mergeCell ref="B35:B36"/>
    <mergeCell ref="C35:C36"/>
    <mergeCell ref="E35:E36"/>
    <mergeCell ref="B37:B38"/>
    <mergeCell ref="C37:C38"/>
    <mergeCell ref="E37:E38"/>
    <mergeCell ref="B40:B41"/>
    <mergeCell ref="C40:C41"/>
    <mergeCell ref="E40:E41"/>
    <mergeCell ref="B42:B43"/>
    <mergeCell ref="C42:C43"/>
    <mergeCell ref="E42:E43"/>
    <mergeCell ref="B48:B49"/>
    <mergeCell ref="C48:C49"/>
    <mergeCell ref="E48:E49"/>
    <mergeCell ref="B44:B45"/>
    <mergeCell ref="C44:C45"/>
    <mergeCell ref="E44:E45"/>
    <mergeCell ref="B46:B47"/>
    <mergeCell ref="C46:C47"/>
    <mergeCell ref="E46:E4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CB011-D633-E042-8672-0396E771F7D7}">
  <dimension ref="B1:S14"/>
  <sheetViews>
    <sheetView zoomScale="125" workbookViewId="0">
      <selection activeCell="S16" sqref="S16"/>
    </sheetView>
  </sheetViews>
  <sheetFormatPr baseColWidth="10" defaultRowHeight="15"/>
  <cols>
    <col min="1" max="1" width="3.33203125" style="31" customWidth="1"/>
    <col min="2" max="4" width="10.83203125" style="31"/>
    <col min="5" max="5" width="3.6640625" style="31" customWidth="1"/>
    <col min="6" max="6" width="11.83203125" style="31" customWidth="1"/>
    <col min="7" max="7" width="7.6640625" style="31" customWidth="1"/>
    <col min="8" max="8" width="10" style="31" customWidth="1"/>
    <col min="9" max="9" width="4.1640625" style="31" customWidth="1"/>
    <col min="10" max="10" width="10.83203125" style="31"/>
    <col min="11" max="11" width="8.5" style="31" customWidth="1"/>
    <col min="12" max="12" width="3.33203125" style="31" customWidth="1"/>
    <col min="13" max="13" width="7.33203125" style="31" customWidth="1"/>
    <col min="14" max="14" width="8.33203125" style="72" customWidth="1"/>
    <col min="15" max="15" width="4" style="31" customWidth="1"/>
    <col min="16" max="17" width="10.83203125" style="31"/>
    <col min="18" max="18" width="9" style="31" customWidth="1"/>
    <col min="19" max="16384" width="10.83203125" style="31"/>
  </cols>
  <sheetData>
    <row r="1" spans="2:19">
      <c r="B1" s="31" t="s">
        <v>62</v>
      </c>
    </row>
    <row r="2" spans="2:19">
      <c r="B2" s="31" t="s">
        <v>48</v>
      </c>
      <c r="F2" s="31" t="s">
        <v>49</v>
      </c>
      <c r="J2" s="31" t="s">
        <v>51</v>
      </c>
      <c r="M2" s="31" t="s">
        <v>52</v>
      </c>
      <c r="P2" s="31" t="s">
        <v>87</v>
      </c>
      <c r="R2" s="31" t="s">
        <v>203</v>
      </c>
    </row>
    <row r="4" spans="2:19">
      <c r="B4" s="12">
        <v>44915</v>
      </c>
      <c r="C4" s="14">
        <v>58.5</v>
      </c>
      <c r="D4" s="15" t="s">
        <v>46</v>
      </c>
      <c r="E4" s="15"/>
      <c r="F4" s="73">
        <v>44914</v>
      </c>
      <c r="G4" s="74" t="s">
        <v>50</v>
      </c>
      <c r="H4" s="75">
        <v>107.56</v>
      </c>
      <c r="J4" s="76">
        <v>44896</v>
      </c>
      <c r="K4" s="77">
        <v>56</v>
      </c>
      <c r="M4" s="76">
        <v>44896</v>
      </c>
      <c r="N4" s="72">
        <v>50</v>
      </c>
      <c r="P4" s="76">
        <v>44896</v>
      </c>
      <c r="Q4" s="72">
        <v>141</v>
      </c>
      <c r="R4" s="76">
        <v>44896</v>
      </c>
      <c r="S4" s="72">
        <v>40</v>
      </c>
    </row>
    <row r="5" spans="2:19">
      <c r="B5" s="12">
        <v>44880</v>
      </c>
      <c r="C5" s="14">
        <v>31.32</v>
      </c>
      <c r="D5" s="15" t="s">
        <v>46</v>
      </c>
      <c r="E5" s="15"/>
      <c r="F5" s="73">
        <v>44882</v>
      </c>
      <c r="G5" s="74" t="s">
        <v>50</v>
      </c>
      <c r="H5" s="75">
        <v>80.099999999999994</v>
      </c>
      <c r="J5" s="76">
        <v>44866</v>
      </c>
      <c r="K5" s="77">
        <v>56</v>
      </c>
      <c r="M5" s="76">
        <v>44866</v>
      </c>
      <c r="N5" s="72">
        <v>40</v>
      </c>
      <c r="P5" s="76">
        <v>44866</v>
      </c>
      <c r="Q5" s="72">
        <v>141</v>
      </c>
      <c r="R5" s="76">
        <v>44866</v>
      </c>
      <c r="S5" s="72">
        <v>40</v>
      </c>
    </row>
    <row r="6" spans="2:19">
      <c r="B6" s="12">
        <v>44852</v>
      </c>
      <c r="C6" s="14">
        <v>30.98</v>
      </c>
      <c r="D6" s="15" t="s">
        <v>46</v>
      </c>
      <c r="E6" s="15"/>
      <c r="F6" s="73">
        <v>44852</v>
      </c>
      <c r="G6" s="74" t="s">
        <v>50</v>
      </c>
      <c r="H6" s="75">
        <v>72.55</v>
      </c>
      <c r="J6" s="76">
        <v>44835</v>
      </c>
      <c r="K6" s="77">
        <v>56</v>
      </c>
      <c r="M6" s="76">
        <v>44835</v>
      </c>
      <c r="N6" s="72">
        <v>40</v>
      </c>
      <c r="P6" s="76">
        <v>44835</v>
      </c>
      <c r="Q6" s="72">
        <v>141</v>
      </c>
      <c r="R6" s="76">
        <v>44835</v>
      </c>
      <c r="S6" s="72">
        <v>40</v>
      </c>
    </row>
    <row r="7" spans="2:19">
      <c r="B7" s="12">
        <v>44817</v>
      </c>
      <c r="C7" s="14">
        <v>31.17</v>
      </c>
      <c r="D7" s="15" t="s">
        <v>46</v>
      </c>
      <c r="E7" s="15"/>
      <c r="F7" s="73">
        <v>44823</v>
      </c>
      <c r="G7" s="74" t="s">
        <v>50</v>
      </c>
      <c r="H7" s="75">
        <v>179.25</v>
      </c>
      <c r="J7" s="76">
        <v>44805</v>
      </c>
      <c r="K7" s="77">
        <v>56</v>
      </c>
      <c r="M7" s="76">
        <v>44805</v>
      </c>
      <c r="N7" s="72">
        <v>40</v>
      </c>
      <c r="P7" s="76">
        <v>44805</v>
      </c>
      <c r="Q7" s="72">
        <v>141</v>
      </c>
      <c r="R7" s="76">
        <v>44805</v>
      </c>
      <c r="S7" s="72">
        <v>40</v>
      </c>
    </row>
    <row r="8" spans="2:19">
      <c r="B8" s="12">
        <v>44789</v>
      </c>
      <c r="C8" s="14">
        <v>35.049999999999997</v>
      </c>
      <c r="D8" s="15" t="s">
        <v>46</v>
      </c>
      <c r="E8" s="15"/>
      <c r="F8" s="73">
        <v>44791</v>
      </c>
      <c r="G8" s="74" t="s">
        <v>50</v>
      </c>
      <c r="H8" s="75">
        <v>267.02</v>
      </c>
      <c r="J8" s="76">
        <v>44774</v>
      </c>
      <c r="K8" s="77">
        <v>56</v>
      </c>
      <c r="M8" s="76">
        <v>44774</v>
      </c>
      <c r="N8" s="72">
        <v>12</v>
      </c>
      <c r="P8" s="76">
        <v>44774</v>
      </c>
      <c r="Q8" s="72">
        <v>141</v>
      </c>
      <c r="R8" s="76">
        <v>44774</v>
      </c>
      <c r="S8" s="72">
        <v>40</v>
      </c>
    </row>
    <row r="9" spans="2:19">
      <c r="B9" s="12">
        <v>44758</v>
      </c>
      <c r="C9" s="14">
        <v>33.770000000000003</v>
      </c>
      <c r="D9" s="15" t="s">
        <v>46</v>
      </c>
      <c r="E9" s="15"/>
      <c r="F9" s="73">
        <v>44762</v>
      </c>
      <c r="G9" s="74" t="s">
        <v>50</v>
      </c>
      <c r="H9" s="75">
        <v>243.51</v>
      </c>
      <c r="J9" s="76">
        <v>44743</v>
      </c>
      <c r="K9" s="77">
        <v>56</v>
      </c>
      <c r="M9" s="76">
        <v>44743</v>
      </c>
      <c r="N9" s="72">
        <v>90</v>
      </c>
      <c r="P9" s="76">
        <v>44743</v>
      </c>
      <c r="Q9" s="72">
        <v>141</v>
      </c>
      <c r="R9" s="76">
        <v>44743</v>
      </c>
      <c r="S9" s="72">
        <v>40</v>
      </c>
    </row>
    <row r="10" spans="2:19">
      <c r="B10" s="12">
        <v>44726</v>
      </c>
      <c r="C10" s="14">
        <v>59.17</v>
      </c>
      <c r="D10" s="15" t="s">
        <v>46</v>
      </c>
      <c r="E10" s="15"/>
      <c r="F10" s="73">
        <v>44732</v>
      </c>
      <c r="G10" s="74" t="s">
        <v>50</v>
      </c>
      <c r="H10" s="75">
        <v>161.63</v>
      </c>
      <c r="J10" s="76">
        <v>44713</v>
      </c>
      <c r="K10" s="77">
        <v>56</v>
      </c>
      <c r="M10" s="76">
        <v>44713</v>
      </c>
      <c r="N10" s="72">
        <v>50</v>
      </c>
      <c r="P10" s="76">
        <v>44713</v>
      </c>
      <c r="Q10" s="72">
        <v>141</v>
      </c>
      <c r="R10" s="76">
        <v>44713</v>
      </c>
      <c r="S10" s="72">
        <v>40</v>
      </c>
    </row>
    <row r="11" spans="2:19">
      <c r="B11" s="12">
        <v>44698</v>
      </c>
      <c r="C11" s="14">
        <v>106.8</v>
      </c>
      <c r="D11" s="15" t="s">
        <v>46</v>
      </c>
      <c r="F11" s="73">
        <v>44700</v>
      </c>
      <c r="G11" s="74" t="s">
        <v>50</v>
      </c>
      <c r="H11" s="75">
        <v>93.82</v>
      </c>
      <c r="J11" s="76">
        <v>44682</v>
      </c>
      <c r="K11" s="77">
        <v>56</v>
      </c>
      <c r="M11" s="76">
        <v>44682</v>
      </c>
      <c r="N11" s="72">
        <v>50</v>
      </c>
      <c r="P11" s="76">
        <v>44682</v>
      </c>
      <c r="Q11" s="72">
        <v>141</v>
      </c>
      <c r="R11" s="76">
        <v>44682</v>
      </c>
      <c r="S11" s="72">
        <v>50</v>
      </c>
    </row>
    <row r="12" spans="2:19">
      <c r="B12" s="78">
        <v>44667</v>
      </c>
      <c r="C12" s="14">
        <v>107.57</v>
      </c>
      <c r="D12" s="15" t="s">
        <v>46</v>
      </c>
      <c r="F12" s="73">
        <v>44671</v>
      </c>
      <c r="G12" s="74" t="s">
        <v>50</v>
      </c>
      <c r="H12" s="75">
        <v>96.89</v>
      </c>
      <c r="J12" s="76">
        <v>44652</v>
      </c>
      <c r="K12" s="77">
        <v>56</v>
      </c>
      <c r="M12" s="76">
        <v>44652</v>
      </c>
      <c r="N12" s="72">
        <v>50</v>
      </c>
      <c r="P12" s="76">
        <v>44652</v>
      </c>
      <c r="Q12" s="72">
        <v>141</v>
      </c>
      <c r="R12" s="76">
        <v>44652</v>
      </c>
      <c r="S12" s="72">
        <v>50</v>
      </c>
    </row>
    <row r="13" spans="2:19">
      <c r="Q13" s="72"/>
    </row>
    <row r="14" spans="2:19">
      <c r="C14" s="56">
        <f>SUM(C4:C13)</f>
        <v>494.33</v>
      </c>
      <c r="H14" s="56">
        <f>SUM(H4:H13)</f>
        <v>1302.33</v>
      </c>
      <c r="K14" s="72">
        <f>SUM(K4:K13)</f>
        <v>504</v>
      </c>
      <c r="N14" s="72">
        <f>SUM(N4:N13)</f>
        <v>422</v>
      </c>
      <c r="Q14" s="72">
        <f>SUM(Q4:Q13)</f>
        <v>1269</v>
      </c>
      <c r="S14" s="72">
        <f>SUM(S4:S13)</f>
        <v>380</v>
      </c>
    </row>
  </sheetData>
  <phoneticPr fontId="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130D7-EAB9-7643-B576-C9A3A5F1E8FD}">
  <dimension ref="B2:J119"/>
  <sheetViews>
    <sheetView zoomScale="182" zoomScaleNormal="182" workbookViewId="0">
      <selection activeCell="D3" sqref="D3"/>
    </sheetView>
  </sheetViews>
  <sheetFormatPr baseColWidth="10" defaultRowHeight="16"/>
  <cols>
    <col min="1" max="1" width="4.6640625" customWidth="1"/>
    <col min="2" max="2" width="16.1640625" style="3" customWidth="1"/>
    <col min="3" max="3" width="14" style="9" bestFit="1" customWidth="1"/>
    <col min="4" max="4" width="10.6640625" customWidth="1"/>
    <col min="5" max="5" width="5" customWidth="1"/>
    <col min="6" max="6" width="16.83203125" style="3" customWidth="1"/>
    <col min="7" max="7" width="14" style="5" bestFit="1" customWidth="1"/>
    <col min="8" max="8" width="11.5" bestFit="1" customWidth="1"/>
  </cols>
  <sheetData>
    <row r="2" spans="2:9" ht="34" customHeight="1">
      <c r="B2" s="102" t="s">
        <v>64</v>
      </c>
      <c r="C2" s="102"/>
      <c r="D2" s="102"/>
      <c r="E2" s="102"/>
      <c r="F2" s="102"/>
      <c r="G2" s="102"/>
      <c r="H2" s="102"/>
      <c r="I2" s="102"/>
    </row>
    <row r="3" spans="2:9" ht="24" customHeight="1">
      <c r="B3" s="33" t="s">
        <v>12</v>
      </c>
      <c r="D3" s="1"/>
      <c r="E3" s="1"/>
      <c r="F3" s="28" t="s">
        <v>11</v>
      </c>
    </row>
    <row r="4" spans="2:9" ht="16" customHeight="1">
      <c r="B4" s="59" t="s">
        <v>190</v>
      </c>
      <c r="C4" s="60" t="s">
        <v>191</v>
      </c>
      <c r="D4" s="1"/>
      <c r="E4" s="1"/>
      <c r="F4" s="60" t="s">
        <v>192</v>
      </c>
      <c r="G4" s="82">
        <v>44781</v>
      </c>
      <c r="H4" s="83">
        <v>44926</v>
      </c>
      <c r="I4">
        <f>H4-G4</f>
        <v>145</v>
      </c>
    </row>
    <row r="5" spans="2:9" ht="48" customHeight="1">
      <c r="B5" s="27" t="s">
        <v>90</v>
      </c>
      <c r="C5" s="32">
        <v>6782</v>
      </c>
      <c r="D5" s="1"/>
      <c r="E5" s="1"/>
      <c r="F5" s="4"/>
      <c r="G5" s="32">
        <v>9495</v>
      </c>
      <c r="H5" s="85">
        <f>SUM(C5:G5)</f>
        <v>16277</v>
      </c>
    </row>
    <row r="6" spans="2:9" ht="29" customHeight="1">
      <c r="B6" s="27" t="s">
        <v>210</v>
      </c>
      <c r="C6" s="32"/>
      <c r="D6" s="1"/>
      <c r="E6" s="1"/>
      <c r="F6" s="4"/>
      <c r="G6" s="84">
        <v>44843</v>
      </c>
      <c r="I6">
        <f>H4-G6</f>
        <v>83</v>
      </c>
    </row>
    <row r="7" spans="2:9" ht="32" customHeight="1">
      <c r="B7" s="33" t="s">
        <v>89</v>
      </c>
      <c r="C7" s="32"/>
      <c r="D7" s="1"/>
      <c r="E7" s="1"/>
      <c r="F7" s="4"/>
      <c r="G7" s="32"/>
    </row>
    <row r="8" spans="2:9" ht="31" customHeight="1">
      <c r="B8" s="27" t="s">
        <v>85</v>
      </c>
      <c r="C8" s="42">
        <f>70+70+98</f>
        <v>238</v>
      </c>
      <c r="D8" s="106" t="s">
        <v>101</v>
      </c>
      <c r="E8" s="106"/>
      <c r="F8" s="17"/>
      <c r="G8" s="42">
        <v>350</v>
      </c>
      <c r="H8" s="44" t="s">
        <v>103</v>
      </c>
    </row>
    <row r="9" spans="2:9" ht="85" customHeight="1">
      <c r="B9" s="27" t="s">
        <v>91</v>
      </c>
      <c r="C9" s="42">
        <v>1285</v>
      </c>
      <c r="D9" s="17"/>
      <c r="E9" s="17"/>
      <c r="F9" s="17"/>
      <c r="G9" s="17"/>
      <c r="H9" s="44" t="s">
        <v>103</v>
      </c>
    </row>
    <row r="10" spans="2:9" ht="22" customHeight="1">
      <c r="B10" s="27"/>
      <c r="C10" s="17"/>
      <c r="D10" s="17"/>
      <c r="E10" s="17"/>
      <c r="F10" s="17"/>
      <c r="G10" s="17"/>
      <c r="H10" s="44"/>
    </row>
    <row r="11" spans="2:9" ht="22" customHeight="1">
      <c r="B11" s="27" t="s">
        <v>82</v>
      </c>
      <c r="C11" s="42">
        <f>SUM(D12:D17)</f>
        <v>5243</v>
      </c>
      <c r="D11" s="17"/>
      <c r="E11" s="17"/>
      <c r="F11" s="17"/>
      <c r="G11" s="17"/>
      <c r="H11" s="44" t="s">
        <v>103</v>
      </c>
    </row>
    <row r="12" spans="2:9" ht="15" customHeight="1">
      <c r="C12" s="45" t="s">
        <v>83</v>
      </c>
      <c r="D12" s="46">
        <v>4750</v>
      </c>
      <c r="E12" s="17"/>
      <c r="F12" s="17"/>
      <c r="G12" s="17"/>
      <c r="H12" s="44"/>
    </row>
    <row r="13" spans="2:9" ht="15" customHeight="1">
      <c r="C13" s="45" t="s">
        <v>84</v>
      </c>
      <c r="D13" s="46">
        <v>150</v>
      </c>
      <c r="E13" s="17"/>
      <c r="F13" s="17"/>
      <c r="G13" s="17"/>
      <c r="H13" s="44"/>
    </row>
    <row r="14" spans="2:9" ht="15" customHeight="1">
      <c r="C14" s="45" t="s">
        <v>78</v>
      </c>
      <c r="D14" s="46">
        <v>63</v>
      </c>
      <c r="E14" s="17"/>
      <c r="F14" s="17"/>
      <c r="G14" s="17"/>
      <c r="H14" s="44"/>
    </row>
    <row r="15" spans="2:9" ht="15" customHeight="1">
      <c r="C15" s="45" t="s">
        <v>79</v>
      </c>
      <c r="D15" s="46">
        <v>90</v>
      </c>
      <c r="E15" s="17"/>
      <c r="F15" s="17"/>
      <c r="G15" s="17"/>
      <c r="H15" s="44"/>
    </row>
    <row r="16" spans="2:9" ht="15" customHeight="1">
      <c r="C16" s="45" t="s">
        <v>80</v>
      </c>
      <c r="D16" s="46">
        <v>120</v>
      </c>
      <c r="E16" s="17"/>
      <c r="F16" s="17"/>
      <c r="G16" s="17"/>
      <c r="H16" s="44"/>
    </row>
    <row r="17" spans="2:8" ht="15" customHeight="1">
      <c r="C17" s="45" t="s">
        <v>81</v>
      </c>
      <c r="D17" s="46">
        <v>70</v>
      </c>
      <c r="E17" s="17"/>
      <c r="F17" s="17"/>
      <c r="G17" s="17"/>
      <c r="H17" s="44"/>
    </row>
    <row r="18" spans="2:8" ht="22" customHeight="1">
      <c r="B18" s="1" t="s">
        <v>86</v>
      </c>
      <c r="C18" s="17"/>
      <c r="D18" s="17"/>
      <c r="E18" s="17"/>
      <c r="F18" s="17"/>
      <c r="G18" s="17"/>
      <c r="H18" s="44"/>
    </row>
    <row r="19" spans="2:8" ht="22" customHeight="1">
      <c r="B19" s="1" t="s">
        <v>44</v>
      </c>
      <c r="C19" s="42">
        <v>58</v>
      </c>
      <c r="D19" s="17"/>
      <c r="E19" s="17"/>
      <c r="F19" s="17"/>
      <c r="G19" s="17"/>
      <c r="H19" s="44" t="s">
        <v>103</v>
      </c>
    </row>
    <row r="20" spans="2:8" ht="22" customHeight="1">
      <c r="B20" s="1" t="s">
        <v>43</v>
      </c>
      <c r="C20" s="42">
        <v>90</v>
      </c>
      <c r="D20" s="17"/>
      <c r="E20" s="17"/>
      <c r="F20" s="17"/>
      <c r="G20" s="17"/>
      <c r="H20" s="44" t="s">
        <v>103</v>
      </c>
    </row>
    <row r="21" spans="2:8" ht="22" customHeight="1">
      <c r="B21" s="1" t="s">
        <v>47</v>
      </c>
      <c r="C21" s="42">
        <v>65</v>
      </c>
      <c r="D21" s="17"/>
      <c r="E21" s="17"/>
      <c r="F21" s="17"/>
      <c r="G21" s="17"/>
      <c r="H21" s="44" t="s">
        <v>103</v>
      </c>
    </row>
    <row r="22" spans="2:8" ht="22" customHeight="1">
      <c r="B22" s="1"/>
      <c r="C22" s="17"/>
      <c r="D22" s="17"/>
      <c r="E22" s="17"/>
      <c r="F22" s="17"/>
      <c r="G22" s="17"/>
      <c r="H22" s="44"/>
    </row>
    <row r="23" spans="2:8" ht="28" customHeight="1">
      <c r="B23" s="4" t="s">
        <v>88</v>
      </c>
      <c r="C23" s="42">
        <f>5*111</f>
        <v>555</v>
      </c>
      <c r="D23" s="17"/>
      <c r="E23" s="17"/>
      <c r="F23" s="43" t="s">
        <v>102</v>
      </c>
      <c r="G23" s="42">
        <f>84.21+(4*111)</f>
        <v>528.21</v>
      </c>
      <c r="H23" s="44" t="s">
        <v>103</v>
      </c>
    </row>
    <row r="24" spans="2:8" ht="35" customHeight="1">
      <c r="B24" s="4" t="s">
        <v>38</v>
      </c>
      <c r="C24" s="42">
        <v>510.07</v>
      </c>
      <c r="D24" s="17"/>
      <c r="E24" s="17"/>
      <c r="F24" s="43" t="s">
        <v>38</v>
      </c>
      <c r="G24" s="42">
        <v>497.55</v>
      </c>
      <c r="H24" s="44" t="s">
        <v>103</v>
      </c>
    </row>
    <row r="25" spans="2:8" ht="35" customHeight="1">
      <c r="B25" s="4"/>
      <c r="C25" s="42"/>
      <c r="D25" s="17"/>
      <c r="E25" s="17"/>
      <c r="F25" s="43"/>
      <c r="G25" s="42"/>
      <c r="H25" s="44"/>
    </row>
    <row r="26" spans="2:8" ht="17" customHeight="1">
      <c r="B26" s="4" t="s">
        <v>67</v>
      </c>
      <c r="C26" s="23">
        <v>1894.78</v>
      </c>
      <c r="G26" s="24">
        <v>1814.49</v>
      </c>
      <c r="H26" s="44" t="s">
        <v>103</v>
      </c>
    </row>
    <row r="27" spans="2:8" ht="22" customHeight="1">
      <c r="B27" s="1"/>
      <c r="C27" s="17"/>
      <c r="D27" s="17"/>
      <c r="E27" s="17"/>
      <c r="F27" s="17"/>
      <c r="G27" s="17"/>
    </row>
    <row r="28" spans="2:8" ht="22" customHeight="1">
      <c r="B28" s="1" t="s">
        <v>92</v>
      </c>
      <c r="C28" s="17"/>
      <c r="D28" s="17"/>
      <c r="E28" s="17"/>
      <c r="F28" s="17"/>
      <c r="G28" s="17"/>
    </row>
    <row r="29" spans="2:8" ht="22" customHeight="1" thickBot="1">
      <c r="B29" s="1"/>
      <c r="C29" s="17"/>
      <c r="D29" s="17"/>
      <c r="E29" s="17"/>
      <c r="F29" s="17"/>
      <c r="G29" s="17"/>
    </row>
    <row r="30" spans="2:8" ht="30" thickBot="1">
      <c r="B30" s="4" t="s">
        <v>10</v>
      </c>
      <c r="C30" s="37">
        <v>58.5</v>
      </c>
      <c r="D30" s="1"/>
      <c r="E30" s="1"/>
      <c r="F30" s="4" t="s">
        <v>10</v>
      </c>
      <c r="G30" s="34">
        <v>58.5</v>
      </c>
    </row>
    <row r="31" spans="2:8" ht="29">
      <c r="B31" s="4" t="s">
        <v>13</v>
      </c>
      <c r="C31" s="37">
        <v>1414</v>
      </c>
      <c r="D31" s="1"/>
      <c r="E31" s="1"/>
      <c r="F31" s="4" t="s">
        <v>7</v>
      </c>
      <c r="G31" s="34">
        <v>1833.72</v>
      </c>
    </row>
    <row r="32" spans="2:8" ht="17" thickBot="1">
      <c r="B32" s="4"/>
      <c r="C32" s="38"/>
      <c r="D32" s="1"/>
      <c r="E32" s="1"/>
      <c r="F32" s="4" t="s">
        <v>6</v>
      </c>
      <c r="G32" s="35">
        <v>345</v>
      </c>
    </row>
    <row r="33" spans="2:10" ht="29">
      <c r="B33" s="4" t="s">
        <v>0</v>
      </c>
      <c r="C33" s="37">
        <v>650</v>
      </c>
      <c r="D33" s="1"/>
      <c r="E33" s="1"/>
      <c r="F33" s="4" t="s">
        <v>1</v>
      </c>
      <c r="G33" s="34">
        <v>47</v>
      </c>
    </row>
    <row r="34" spans="2:10" ht="29">
      <c r="B34" s="4" t="s">
        <v>32</v>
      </c>
      <c r="C34" s="38"/>
      <c r="D34" s="1"/>
      <c r="E34" s="1"/>
      <c r="F34" s="4" t="s">
        <v>30</v>
      </c>
      <c r="G34" s="35">
        <v>315.83</v>
      </c>
      <c r="H34" s="103" t="s">
        <v>93</v>
      </c>
    </row>
    <row r="35" spans="2:10" ht="29">
      <c r="B35" s="4" t="s">
        <v>2</v>
      </c>
      <c r="C35" s="38">
        <v>145</v>
      </c>
      <c r="D35" s="1"/>
      <c r="E35" s="1"/>
      <c r="F35" s="4" t="s">
        <v>31</v>
      </c>
      <c r="G35" s="35">
        <v>947.5</v>
      </c>
      <c r="H35" s="104"/>
    </row>
    <row r="36" spans="2:10" ht="29">
      <c r="B36" s="4" t="s">
        <v>3</v>
      </c>
      <c r="C36" s="38">
        <v>15</v>
      </c>
      <c r="D36" s="1"/>
      <c r="E36" s="1"/>
      <c r="F36" s="4" t="s">
        <v>4</v>
      </c>
      <c r="G36" s="35">
        <v>485</v>
      </c>
    </row>
    <row r="37" spans="2:10">
      <c r="B37" s="4" t="s">
        <v>3</v>
      </c>
      <c r="C37" s="38">
        <v>52</v>
      </c>
      <c r="D37" s="1"/>
      <c r="E37" s="1"/>
      <c r="F37" s="4" t="s">
        <v>8</v>
      </c>
      <c r="G37" s="35">
        <v>150</v>
      </c>
    </row>
    <row r="38" spans="2:10" ht="30" thickBot="1">
      <c r="B38" s="4" t="s">
        <v>33</v>
      </c>
      <c r="C38" s="39">
        <v>1166.67</v>
      </c>
      <c r="D38" s="2"/>
      <c r="E38" s="2"/>
      <c r="F38" s="4" t="s">
        <v>9</v>
      </c>
      <c r="G38" s="36">
        <v>40</v>
      </c>
    </row>
    <row r="39" spans="2:10">
      <c r="B39" s="4" t="s">
        <v>5</v>
      </c>
      <c r="C39" s="40">
        <f>SUM(C30:C38)</f>
        <v>3501.17</v>
      </c>
      <c r="G39" s="41">
        <f>SUM(G30:G38)</f>
        <v>4222.55</v>
      </c>
    </row>
    <row r="40" spans="2:10">
      <c r="B40" s="4"/>
      <c r="C40" s="40"/>
      <c r="G40" s="41"/>
    </row>
    <row r="41" spans="2:10" ht="24" customHeight="1">
      <c r="B41" s="4" t="s">
        <v>186</v>
      </c>
      <c r="C41" s="81">
        <v>353722.17</v>
      </c>
      <c r="G41" s="81">
        <v>383417.76</v>
      </c>
      <c r="H41" t="s">
        <v>208</v>
      </c>
    </row>
    <row r="42" spans="2:10" ht="29">
      <c r="B42" s="4" t="s">
        <v>194</v>
      </c>
      <c r="C42" s="22">
        <v>126700</v>
      </c>
      <c r="G42" s="18">
        <v>114800</v>
      </c>
    </row>
    <row r="43" spans="2:10" ht="43">
      <c r="B43" s="4" t="s">
        <v>195</v>
      </c>
      <c r="C43" s="22">
        <f>C41-C42</f>
        <v>227022.16999999998</v>
      </c>
      <c r="G43" s="18">
        <f>G41-G42</f>
        <v>268617.76</v>
      </c>
    </row>
    <row r="44" spans="2:10" ht="37" customHeight="1">
      <c r="B44" s="58" t="s">
        <v>187</v>
      </c>
      <c r="C44" s="65">
        <f>(C43+C39)/27.5</f>
        <v>8382.666909090909</v>
      </c>
      <c r="D44" s="66"/>
      <c r="E44" s="66"/>
      <c r="F44" s="67"/>
      <c r="G44" s="68">
        <f>(G43+G39)/27.5</f>
        <v>9921.4658181818177</v>
      </c>
      <c r="H44" s="105" t="s">
        <v>196</v>
      </c>
      <c r="I44" s="105"/>
      <c r="J44" s="105"/>
    </row>
    <row r="45" spans="2:10" ht="47" customHeight="1">
      <c r="B45" s="58" t="s">
        <v>188</v>
      </c>
      <c r="C45" s="61">
        <f>(C43+C39)*1.364%</f>
        <v>3144.3383576000001</v>
      </c>
      <c r="D45" s="62"/>
      <c r="E45" s="62"/>
      <c r="F45" s="63"/>
      <c r="G45" s="64">
        <f>(G43+G39)*1.364%</f>
        <v>3721.5418284000002</v>
      </c>
      <c r="H45" s="99" t="s">
        <v>193</v>
      </c>
      <c r="I45" s="99"/>
      <c r="J45" s="99"/>
    </row>
    <row r="46" spans="2:10" ht="55" customHeight="1">
      <c r="B46" s="101" t="s">
        <v>189</v>
      </c>
      <c r="C46" s="101"/>
      <c r="D46" s="101"/>
      <c r="E46" s="101"/>
      <c r="F46" s="101"/>
      <c r="G46" s="101"/>
      <c r="H46" s="101"/>
      <c r="I46" s="101"/>
    </row>
    <row r="47" spans="2:10" ht="30" customHeight="1">
      <c r="B47" s="92" t="s">
        <v>209</v>
      </c>
      <c r="C47" s="92"/>
      <c r="D47" s="92"/>
      <c r="E47" s="92"/>
      <c r="F47" s="92"/>
      <c r="G47" s="92"/>
      <c r="H47" s="92"/>
      <c r="I47" s="92"/>
    </row>
    <row r="48" spans="2:10" ht="21" customHeight="1">
      <c r="B48" s="97" t="s">
        <v>35</v>
      </c>
      <c r="C48" s="97"/>
      <c r="D48" s="97"/>
      <c r="E48" s="97"/>
      <c r="F48" s="97"/>
      <c r="G48" s="97"/>
    </row>
    <row r="49" spans="2:8">
      <c r="B49" s="1" t="s">
        <v>14</v>
      </c>
      <c r="C49" s="4"/>
      <c r="D49" s="6" t="s">
        <v>15</v>
      </c>
      <c r="E49" s="7" t="s">
        <v>16</v>
      </c>
      <c r="F49" s="1" t="s">
        <v>23</v>
      </c>
      <c r="G49" s="1"/>
      <c r="H49" s="1"/>
    </row>
    <row r="50" spans="2:8">
      <c r="B50" s="1" t="s">
        <v>29</v>
      </c>
      <c r="C50" s="4" t="s">
        <v>34</v>
      </c>
      <c r="D50" s="1">
        <v>15</v>
      </c>
      <c r="E50" s="1">
        <v>10</v>
      </c>
      <c r="F50" s="1">
        <f t="shared" ref="F50:F58" si="0">E50*D50</f>
        <v>150</v>
      </c>
      <c r="G50" s="1"/>
      <c r="H50" s="1"/>
    </row>
    <row r="51" spans="2:8">
      <c r="B51" s="1"/>
      <c r="C51" s="4" t="s">
        <v>17</v>
      </c>
      <c r="D51" s="1">
        <v>16</v>
      </c>
      <c r="E51" s="1">
        <v>12</v>
      </c>
      <c r="F51" s="1">
        <f t="shared" si="0"/>
        <v>192</v>
      </c>
      <c r="G51" s="1"/>
      <c r="H51" s="1"/>
    </row>
    <row r="52" spans="2:8" ht="16" customHeight="1">
      <c r="B52" s="1"/>
      <c r="C52" s="4" t="s">
        <v>37</v>
      </c>
      <c r="D52" s="1">
        <v>4</v>
      </c>
      <c r="E52" s="1">
        <v>12</v>
      </c>
      <c r="F52" s="1">
        <f t="shared" si="0"/>
        <v>48</v>
      </c>
      <c r="G52" s="1"/>
      <c r="H52" s="1"/>
    </row>
    <row r="53" spans="2:8">
      <c r="B53" s="1"/>
      <c r="C53" s="4" t="s">
        <v>18</v>
      </c>
      <c r="D53" s="1">
        <v>21</v>
      </c>
      <c r="E53" s="1">
        <v>10</v>
      </c>
      <c r="F53" s="1">
        <f t="shared" si="0"/>
        <v>210</v>
      </c>
      <c r="G53" s="1"/>
      <c r="H53" s="1"/>
    </row>
    <row r="54" spans="2:8">
      <c r="B54" s="1"/>
      <c r="C54" s="4" t="s">
        <v>19</v>
      </c>
      <c r="D54" s="1">
        <v>25</v>
      </c>
      <c r="E54" s="1">
        <v>12</v>
      </c>
      <c r="F54" s="1">
        <f t="shared" si="0"/>
        <v>300</v>
      </c>
      <c r="G54" s="1"/>
      <c r="H54" s="1"/>
    </row>
    <row r="55" spans="2:8">
      <c r="B55" s="1"/>
      <c r="C55" s="4" t="s">
        <v>20</v>
      </c>
      <c r="D55" s="1">
        <v>11</v>
      </c>
      <c r="E55" s="1">
        <v>16</v>
      </c>
      <c r="F55" s="1">
        <f t="shared" si="0"/>
        <v>176</v>
      </c>
      <c r="G55" s="1"/>
      <c r="H55" s="1"/>
    </row>
    <row r="56" spans="2:8">
      <c r="B56" s="1"/>
      <c r="C56" s="4" t="s">
        <v>21</v>
      </c>
      <c r="D56" s="1">
        <v>8</v>
      </c>
      <c r="E56" s="1">
        <v>10</v>
      </c>
      <c r="F56" s="1">
        <f t="shared" si="0"/>
        <v>80</v>
      </c>
      <c r="G56" s="1"/>
      <c r="H56" s="1"/>
    </row>
    <row r="57" spans="2:8" ht="29" customHeight="1">
      <c r="B57" s="1"/>
      <c r="C57" s="4" t="s">
        <v>25</v>
      </c>
      <c r="D57" s="1">
        <v>8</v>
      </c>
      <c r="E57" s="1">
        <v>26</v>
      </c>
      <c r="F57" s="1">
        <f t="shared" si="0"/>
        <v>208</v>
      </c>
      <c r="G57" s="1"/>
      <c r="H57" s="1"/>
    </row>
    <row r="58" spans="2:8" ht="43">
      <c r="B58" s="1"/>
      <c r="C58" s="4" t="s">
        <v>22</v>
      </c>
      <c r="D58" s="1">
        <v>7</v>
      </c>
      <c r="E58" s="1">
        <v>10</v>
      </c>
      <c r="F58" s="1">
        <f t="shared" si="0"/>
        <v>70</v>
      </c>
      <c r="G58" s="1"/>
    </row>
    <row r="59" spans="2:8">
      <c r="B59" s="1"/>
      <c r="C59" s="4"/>
      <c r="D59" s="1"/>
      <c r="E59" s="1"/>
      <c r="F59" s="1"/>
      <c r="G59" s="1" t="s">
        <v>26</v>
      </c>
      <c r="H59" s="1" t="s">
        <v>27</v>
      </c>
    </row>
    <row r="60" spans="2:8">
      <c r="B60" s="1"/>
      <c r="C60" s="4" t="s">
        <v>23</v>
      </c>
      <c r="D60" s="1"/>
      <c r="E60" s="1"/>
      <c r="F60" s="2">
        <f>SUM(F50:F59)</f>
        <v>1434</v>
      </c>
      <c r="G60" s="1">
        <v>0.58499999999999996</v>
      </c>
      <c r="H60" s="18">
        <f>G60*F60</f>
        <v>838.89</v>
      </c>
    </row>
    <row r="61" spans="2:8">
      <c r="B61" s="1"/>
      <c r="C61" s="4"/>
      <c r="D61" s="1"/>
      <c r="E61" s="1"/>
      <c r="F61" s="1"/>
      <c r="G61" s="1"/>
      <c r="H61" s="1"/>
    </row>
    <row r="62" spans="2:8">
      <c r="B62" s="1"/>
      <c r="C62" s="4"/>
      <c r="D62" s="6" t="s">
        <v>15</v>
      </c>
      <c r="E62" s="7" t="s">
        <v>28</v>
      </c>
      <c r="F62" s="1" t="s">
        <v>23</v>
      </c>
      <c r="G62" s="1"/>
      <c r="H62" s="1"/>
    </row>
    <row r="63" spans="2:8">
      <c r="B63" s="1" t="s">
        <v>24</v>
      </c>
      <c r="C63" s="4" t="s">
        <v>34</v>
      </c>
      <c r="D63" s="1">
        <v>15</v>
      </c>
      <c r="E63" s="1">
        <v>10</v>
      </c>
      <c r="F63" s="25">
        <f t="shared" ref="F63:F71" si="1">E63*D63</f>
        <v>150</v>
      </c>
      <c r="G63" s="1"/>
      <c r="H63" s="1"/>
    </row>
    <row r="64" spans="2:8">
      <c r="B64" s="1"/>
      <c r="C64" s="4" t="s">
        <v>17</v>
      </c>
      <c r="D64" s="1">
        <v>16</v>
      </c>
      <c r="E64" s="1">
        <v>12</v>
      </c>
      <c r="F64" s="25">
        <f t="shared" si="1"/>
        <v>192</v>
      </c>
      <c r="G64" s="1"/>
      <c r="H64" s="1"/>
    </row>
    <row r="65" spans="2:9" ht="29">
      <c r="B65" s="1"/>
      <c r="C65" s="4" t="s">
        <v>36</v>
      </c>
      <c r="D65" s="1">
        <v>3</v>
      </c>
      <c r="E65" s="1">
        <v>12</v>
      </c>
      <c r="F65" s="25">
        <f t="shared" si="1"/>
        <v>36</v>
      </c>
      <c r="G65" s="1"/>
      <c r="H65" s="1"/>
    </row>
    <row r="66" spans="2:9">
      <c r="B66" s="1"/>
      <c r="C66" s="4" t="s">
        <v>18</v>
      </c>
      <c r="D66" s="1">
        <v>14</v>
      </c>
      <c r="E66" s="1">
        <v>10</v>
      </c>
      <c r="F66" s="25">
        <f t="shared" si="1"/>
        <v>140</v>
      </c>
      <c r="G66" s="1"/>
      <c r="H66" s="1"/>
    </row>
    <row r="67" spans="2:9">
      <c r="B67" s="1"/>
      <c r="C67" s="4" t="s">
        <v>19</v>
      </c>
      <c r="D67" s="1">
        <v>25</v>
      </c>
      <c r="E67" s="1">
        <v>12</v>
      </c>
      <c r="F67" s="25">
        <f t="shared" si="1"/>
        <v>300</v>
      </c>
      <c r="G67" s="1"/>
      <c r="H67" s="1"/>
    </row>
    <row r="68" spans="2:9">
      <c r="B68" s="1"/>
      <c r="C68" s="4" t="s">
        <v>20</v>
      </c>
      <c r="D68" s="1">
        <v>11</v>
      </c>
      <c r="E68" s="1">
        <v>16</v>
      </c>
      <c r="F68" s="25">
        <f t="shared" si="1"/>
        <v>176</v>
      </c>
      <c r="G68" s="1"/>
      <c r="H68" s="1"/>
    </row>
    <row r="69" spans="2:9">
      <c r="B69" s="1"/>
      <c r="C69" s="4" t="s">
        <v>21</v>
      </c>
      <c r="D69" s="1">
        <v>6</v>
      </c>
      <c r="E69" s="1">
        <v>10</v>
      </c>
      <c r="F69" s="25">
        <f t="shared" si="1"/>
        <v>60</v>
      </c>
      <c r="G69" s="1"/>
      <c r="H69" s="1"/>
    </row>
    <row r="70" spans="2:9" ht="31" customHeight="1">
      <c r="B70" s="1"/>
      <c r="C70" s="4" t="s">
        <v>25</v>
      </c>
      <c r="D70" s="1">
        <v>6</v>
      </c>
      <c r="E70" s="1">
        <v>26</v>
      </c>
      <c r="F70" s="25">
        <f t="shared" si="1"/>
        <v>156</v>
      </c>
      <c r="G70" s="1"/>
      <c r="H70" s="1"/>
    </row>
    <row r="71" spans="2:9" ht="43">
      <c r="B71" s="1"/>
      <c r="C71" s="4" t="s">
        <v>22</v>
      </c>
      <c r="D71" s="1">
        <v>9</v>
      </c>
      <c r="E71" s="1">
        <v>10</v>
      </c>
      <c r="F71" s="25">
        <f t="shared" si="1"/>
        <v>90</v>
      </c>
      <c r="G71" s="1"/>
      <c r="H71" s="1"/>
    </row>
    <row r="72" spans="2:9">
      <c r="B72" s="1"/>
      <c r="C72" s="4"/>
      <c r="D72" s="1"/>
      <c r="E72" s="1"/>
      <c r="F72" s="25"/>
      <c r="G72" s="1" t="s">
        <v>26</v>
      </c>
      <c r="H72" s="1" t="s">
        <v>27</v>
      </c>
    </row>
    <row r="73" spans="2:9">
      <c r="B73" s="1"/>
      <c r="C73" s="4" t="s">
        <v>23</v>
      </c>
      <c r="D73" s="1"/>
      <c r="E73" s="1"/>
      <c r="F73" s="26">
        <f>SUM(F63:F72)</f>
        <v>1300</v>
      </c>
      <c r="G73" s="19">
        <f>G60</f>
        <v>0.58499999999999996</v>
      </c>
      <c r="H73" s="18">
        <f>G73*F73</f>
        <v>760.5</v>
      </c>
    </row>
    <row r="74" spans="2:9">
      <c r="B74" s="1"/>
      <c r="C74" s="4"/>
      <c r="D74" s="1"/>
      <c r="E74" s="1"/>
      <c r="F74" s="1"/>
      <c r="G74" s="19"/>
      <c r="H74" s="19"/>
    </row>
    <row r="75" spans="2:9" ht="29">
      <c r="B75" s="1" t="s">
        <v>61</v>
      </c>
      <c r="C75" s="4" t="s">
        <v>94</v>
      </c>
      <c r="D75" s="1">
        <v>4</v>
      </c>
      <c r="E75" s="1">
        <f>14+6+12</f>
        <v>32</v>
      </c>
      <c r="F75" s="1">
        <f>E75*D75</f>
        <v>128</v>
      </c>
      <c r="G75" s="19">
        <v>0.59</v>
      </c>
      <c r="H75" s="18">
        <f>G75*F75</f>
        <v>75.52</v>
      </c>
    </row>
    <row r="76" spans="2:9">
      <c r="B76" s="1"/>
      <c r="C76" s="4"/>
      <c r="D76" s="1"/>
      <c r="E76" s="1"/>
      <c r="F76" s="1"/>
      <c r="G76" s="1"/>
      <c r="H76" s="1"/>
    </row>
    <row r="77" spans="2:9">
      <c r="B77" s="1"/>
      <c r="C77" s="4" t="s">
        <v>95</v>
      </c>
      <c r="D77" s="1"/>
      <c r="E77" s="1"/>
      <c r="F77" s="1">
        <f>F60+F73</f>
        <v>2734</v>
      </c>
      <c r="G77" s="1"/>
      <c r="H77" s="18">
        <f>H73+H60+H75</f>
        <v>1674.9099999999999</v>
      </c>
      <c r="I77" s="44" t="s">
        <v>104</v>
      </c>
    </row>
    <row r="80" spans="2:9">
      <c r="B80" s="10" t="s">
        <v>39</v>
      </c>
    </row>
    <row r="81" spans="2:9" ht="17">
      <c r="B81" s="3" t="s">
        <v>40</v>
      </c>
    </row>
    <row r="82" spans="2:9">
      <c r="B82" t="s">
        <v>41</v>
      </c>
      <c r="E82" s="10" t="s">
        <v>42</v>
      </c>
      <c r="I82" s="44" t="s">
        <v>104</v>
      </c>
    </row>
    <row r="83" spans="2:9">
      <c r="B83" t="s">
        <v>106</v>
      </c>
    </row>
    <row r="84" spans="2:9">
      <c r="B84" t="s">
        <v>55</v>
      </c>
    </row>
    <row r="85" spans="2:9" ht="17">
      <c r="B85" s="8" t="s">
        <v>54</v>
      </c>
      <c r="C85" s="20" t="s">
        <v>63</v>
      </c>
    </row>
    <row r="86" spans="2:9" ht="17">
      <c r="B86" s="3" t="s">
        <v>47</v>
      </c>
      <c r="C86" s="17">
        <f>'UTILITIES 2022 NOT USED IN 2023'!C14</f>
        <v>494.33</v>
      </c>
    </row>
    <row r="87" spans="2:9" ht="17">
      <c r="B87" s="3" t="s">
        <v>43</v>
      </c>
      <c r="C87" s="17">
        <f>'UTILITIES 2022 NOT USED IN 2023'!H14</f>
        <v>1302.33</v>
      </c>
    </row>
    <row r="88" spans="2:9" ht="17">
      <c r="B88" s="3" t="s">
        <v>44</v>
      </c>
      <c r="C88" s="17">
        <f>'UTILITIES 2022 NOT USED IN 2023'!K14</f>
        <v>504</v>
      </c>
    </row>
    <row r="89" spans="2:9" ht="17">
      <c r="B89" s="3" t="s">
        <v>45</v>
      </c>
      <c r="C89" s="17">
        <f>'UTILITIES 2022 NOT USED IN 2023'!N14</f>
        <v>422</v>
      </c>
    </row>
    <row r="90" spans="2:9" ht="17">
      <c r="B90" s="3" t="s">
        <v>204</v>
      </c>
      <c r="C90" s="17">
        <f>'UTILITIES 2022 NOT USED IN 2023'!S14</f>
        <v>380</v>
      </c>
    </row>
    <row r="91" spans="2:9" ht="34">
      <c r="B91" s="3" t="s">
        <v>53</v>
      </c>
      <c r="C91" s="17">
        <f>3157.42+3320.57</f>
        <v>6477.99</v>
      </c>
    </row>
    <row r="92" spans="2:9" ht="34">
      <c r="B92" s="3" t="s">
        <v>56</v>
      </c>
      <c r="C92" s="17">
        <v>962.31</v>
      </c>
    </row>
    <row r="93" spans="2:9" ht="17">
      <c r="B93" s="3" t="s">
        <v>87</v>
      </c>
      <c r="C93" s="17">
        <f>'UTILITIES 2022 NOT USED IN 2023'!Q14</f>
        <v>1269</v>
      </c>
    </row>
    <row r="94" spans="2:9">
      <c r="C94" s="17"/>
    </row>
    <row r="95" spans="2:9" ht="49" customHeight="1">
      <c r="B95" s="98" t="s">
        <v>199</v>
      </c>
      <c r="C95" s="98"/>
      <c r="D95" s="98"/>
      <c r="E95" s="98"/>
      <c r="F95" s="98"/>
      <c r="G95" s="98"/>
      <c r="H95" s="98"/>
    </row>
    <row r="96" spans="2:9" ht="34" customHeight="1">
      <c r="B96" s="99" t="s">
        <v>200</v>
      </c>
      <c r="C96" s="99"/>
      <c r="D96" s="99"/>
      <c r="E96" s="57"/>
      <c r="F96" s="57"/>
      <c r="G96" s="57"/>
      <c r="H96" s="57"/>
    </row>
    <row r="97" spans="2:9" ht="19" customHeight="1">
      <c r="B97" s="69" t="s">
        <v>197</v>
      </c>
      <c r="C97" s="70"/>
      <c r="D97" s="70"/>
      <c r="E97" s="70"/>
      <c r="F97" s="71">
        <v>212600</v>
      </c>
      <c r="G97" s="57"/>
      <c r="H97" s="57"/>
    </row>
    <row r="98" spans="2:9" ht="26" customHeight="1">
      <c r="B98" s="69" t="s">
        <v>195</v>
      </c>
      <c r="C98" s="70"/>
      <c r="D98" s="70"/>
      <c r="E98" s="70"/>
      <c r="F98" s="71">
        <v>347300</v>
      </c>
      <c r="G98" s="57"/>
      <c r="H98" s="57"/>
    </row>
    <row r="99" spans="2:9" ht="26" customHeight="1">
      <c r="B99" s="69" t="s">
        <v>198</v>
      </c>
      <c r="C99" s="70"/>
      <c r="D99" s="70"/>
      <c r="E99" s="70"/>
      <c r="F99" s="71">
        <v>559900</v>
      </c>
      <c r="G99" s="57"/>
      <c r="H99" s="57"/>
    </row>
    <row r="100" spans="2:9" ht="15" customHeight="1">
      <c r="B100" s="57"/>
      <c r="C100" s="57"/>
      <c r="D100" s="57"/>
      <c r="E100" s="57"/>
      <c r="F100" s="57"/>
      <c r="G100" s="57"/>
      <c r="H100" s="57"/>
    </row>
    <row r="101" spans="2:9">
      <c r="C101" s="17"/>
    </row>
    <row r="102" spans="2:9">
      <c r="B102" s="10" t="s">
        <v>57</v>
      </c>
    </row>
    <row r="104" spans="2:9">
      <c r="B104" t="s">
        <v>60</v>
      </c>
      <c r="D104" s="16">
        <v>450</v>
      </c>
      <c r="F104" t="s">
        <v>184</v>
      </c>
    </row>
    <row r="105" spans="2:9">
      <c r="B105" t="s">
        <v>97</v>
      </c>
      <c r="D105" s="16">
        <v>350</v>
      </c>
      <c r="F105" t="s">
        <v>108</v>
      </c>
    </row>
    <row r="106" spans="2:9">
      <c r="B106" t="s">
        <v>59</v>
      </c>
      <c r="D106" s="16">
        <v>630</v>
      </c>
      <c r="F106" t="s">
        <v>183</v>
      </c>
    </row>
    <row r="107" spans="2:9">
      <c r="B107"/>
      <c r="D107" s="16"/>
    </row>
    <row r="108" spans="2:9">
      <c r="B108" t="s">
        <v>58</v>
      </c>
      <c r="D108" s="21">
        <f>SUM(D104:D107)</f>
        <v>1430</v>
      </c>
      <c r="F108" t="s">
        <v>96</v>
      </c>
      <c r="I108" s="44" t="s">
        <v>104</v>
      </c>
    </row>
    <row r="109" spans="2:9">
      <c r="B109"/>
      <c r="D109" s="21"/>
      <c r="F109"/>
      <c r="I109" s="44"/>
    </row>
    <row r="110" spans="2:9">
      <c r="B110" t="s">
        <v>156</v>
      </c>
    </row>
    <row r="111" spans="2:9" ht="46" customHeight="1">
      <c r="B111" t="s">
        <v>105</v>
      </c>
      <c r="D111" s="21">
        <f>((450+56)*9)+130*3</f>
        <v>4944</v>
      </c>
      <c r="F111" s="96" t="s">
        <v>202</v>
      </c>
      <c r="G111" s="96"/>
      <c r="H111" s="96"/>
      <c r="I111" s="44" t="str">
        <f>I108</f>
        <v>Deductible in 2022</v>
      </c>
    </row>
    <row r="112" spans="2:9">
      <c r="B112" t="s">
        <v>157</v>
      </c>
      <c r="D112" s="21">
        <v>438</v>
      </c>
      <c r="F112" s="95" t="s">
        <v>177</v>
      </c>
    </row>
    <row r="113" spans="2:9">
      <c r="B113" t="s">
        <v>206</v>
      </c>
      <c r="D113" s="21">
        <f>193</f>
        <v>193</v>
      </c>
      <c r="F113" s="95"/>
    </row>
    <row r="114" spans="2:9" ht="33" customHeight="1">
      <c r="B114" s="100" t="s">
        <v>205</v>
      </c>
      <c r="C114" s="100"/>
      <c r="D114" s="21">
        <v>250</v>
      </c>
      <c r="F114" s="50"/>
    </row>
    <row r="115" spans="2:9">
      <c r="B115" t="s">
        <v>176</v>
      </c>
      <c r="D115" s="21">
        <f>SUM(D111:D114)</f>
        <v>5825</v>
      </c>
      <c r="F115" s="50"/>
    </row>
    <row r="116" spans="2:9" ht="17" thickBot="1">
      <c r="B116"/>
      <c r="D116" s="21"/>
      <c r="F116" s="50"/>
    </row>
    <row r="117" spans="2:9" ht="47" customHeight="1" thickBot="1">
      <c r="B117" s="80" t="s">
        <v>107</v>
      </c>
      <c r="C117" s="51"/>
      <c r="D117" s="93">
        <f>D115+D108+H77+G45+C45+G26+C26+C23+C24+G23+G24+C11+C9+C8+G8</f>
        <v>28711.890185999997</v>
      </c>
      <c r="E117" s="94"/>
      <c r="F117" s="90" t="s">
        <v>207</v>
      </c>
      <c r="G117" s="91"/>
      <c r="H117" s="91"/>
    </row>
    <row r="118" spans="2:9" ht="35" customHeight="1">
      <c r="B118" s="89" t="s">
        <v>201</v>
      </c>
      <c r="C118" s="89"/>
      <c r="D118" s="89"/>
      <c r="E118" s="89"/>
      <c r="F118" s="89"/>
      <c r="G118" s="89"/>
      <c r="H118" s="89"/>
      <c r="I118" s="89"/>
    </row>
    <row r="119" spans="2:9">
      <c r="F119" s="79"/>
      <c r="G119" s="79"/>
    </row>
  </sheetData>
  <mergeCells count="16">
    <mergeCell ref="B46:I46"/>
    <mergeCell ref="B2:I2"/>
    <mergeCell ref="H34:H35"/>
    <mergeCell ref="H44:J44"/>
    <mergeCell ref="D8:E8"/>
    <mergeCell ref="H45:J45"/>
    <mergeCell ref="B118:I118"/>
    <mergeCell ref="F117:H117"/>
    <mergeCell ref="B47:I47"/>
    <mergeCell ref="D117:E117"/>
    <mergeCell ref="F112:F113"/>
    <mergeCell ref="F111:H111"/>
    <mergeCell ref="B48:G48"/>
    <mergeCell ref="B95:H95"/>
    <mergeCell ref="B96:D96"/>
    <mergeCell ref="B114:C1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2023 Antrim Sligo exp. and rent</vt:lpstr>
      <vt:lpstr>MILEAGE</vt:lpstr>
      <vt:lpstr>MED EXP 2023</vt:lpstr>
      <vt:lpstr>PERS PROP TAX 2023</vt:lpstr>
      <vt:lpstr>LITRATURE</vt:lpstr>
      <vt:lpstr>OLD 2022 MED EXP</vt:lpstr>
      <vt:lpstr>UTILITIES 2022 NOT USED IN 2023</vt:lpstr>
      <vt:lpstr>DETAILS old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Aftab Khan</cp:lastModifiedBy>
  <dcterms:created xsi:type="dcterms:W3CDTF">2023-02-12T19:29:41Z</dcterms:created>
  <dcterms:modified xsi:type="dcterms:W3CDTF">2024-03-16T00:36:17Z</dcterms:modified>
</cp:coreProperties>
</file>